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drawings/drawing10.xml" ContentType="application/vnd.openxmlformats-officedocument.drawingml.chartshap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harts/style3.xml" ContentType="application/vnd.ms-office.chartstyle+xml"/>
  <Override PartName="/xl/styles.xml" ContentType="application/vnd.openxmlformats-officedocument.spreadsheetml.styles+xml"/>
  <Override PartName="/xl/sharedStrings.xml" ContentType="application/vnd.openxmlformats-officedocument.spreadsheetml.sharedStrings+xml"/>
  <Override PartName="/xl/charts/colors3.xml" ContentType="application/vnd.ms-office.chartcolorstyle+xml"/>
  <Override PartName="/xl/charts/chart3.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harts/chartEx1.xml" ContentType="application/vnd.ms-office.chartex+xml"/>
  <Override PartName="/xl/connections.xml" ContentType="application/vnd.openxmlformats-officedocument.spreadsheetml.connection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3.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4.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5.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6.xml" ContentType="application/vnd.openxmlformats-officedocument.spreadsheetml.comments+xml"/>
  <Override PartName="/xl/tables/table24.xml" ContentType="application/vnd.openxmlformats-officedocument.spreadsheetml.table+xml"/>
  <Override PartName="/xl/tables/table25.xml" ContentType="application/vnd.openxmlformats-officedocument.spreadsheetml.table+xml"/>
  <Override PartName="/xl/queryTables/queryTable1.xml" ContentType="application/vnd.openxmlformats-officedocument.spreadsheetml.queryTable+xml"/>
  <Override PartName="/xl/tables/table26.xml" ContentType="application/vnd.openxmlformats-officedocument.spreadsheetml.table+xml"/>
  <Override PartName="/xl/queryTables/queryTable2.xml" ContentType="application/vnd.openxmlformats-officedocument.spreadsheetml.queryTable+xml"/>
  <Override PartName="/xl/tables/table27.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tables/table28.xml" ContentType="application/vnd.openxmlformats-officedocument.spreadsheetml.table+xml"/>
  <Override PartName="/xl/tables/table29.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35.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32.xml" ContentType="application/vnd.openxmlformats-officedocument.spreadsheetml.table+xml"/>
  <Override PartName="/customXml/itemProps1.xml" ContentType="application/vnd.openxmlformats-officedocument.customXmlProperties+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tables/table31.xml" ContentType="application/vnd.openxmlformats-officedocument.spreadsheetml.table+xml"/>
  <Override PartName="/xl/tables/table30.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34.xml" ContentType="application/vnd.openxmlformats-officedocument.spreadsheetml.table+xml"/>
  <Override PartName="/xl/tables/table47.xml" ContentType="application/vnd.openxmlformats-officedocument.spreadsheetml.table+xml"/>
  <Override PartName="/xl/tables/table33.xml" ContentType="application/vnd.openxmlformats-officedocument.spreadsheetml.table+xml"/>
  <Override PartName="/xl/tables/table48.xml" ContentType="application/vnd.openxmlformats-officedocument.spreadsheetml.table+xml"/>
  <Override PartName="/xl/comments9.xml" ContentType="application/vnd.openxmlformats-officedocument.spreadsheetml.comments+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calcChain.xml" ContentType="application/vnd.openxmlformats-officedocument.spreadsheetml.calcChain+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7f19f805bfb641b9" Type="http://schemas.microsoft.com/office/2007/relationships/ui/extensibility" Target="customUI/customUi14.xml"/><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ACT" hidePivotFieldList="1"/>
  <mc:AlternateContent xmlns:mc="http://schemas.openxmlformats.org/markup-compatibility/2006">
    <mc:Choice Requires="x15">
      <x15ac:absPath xmlns:x15ac="http://schemas.microsoft.com/office/spreadsheetml/2010/11/ac" url="M:\03 Projekte\BCG\2024\02 ELUX 2024\03 Analysis\07 Sputnik &amp; Apollo\AWS internal calculations\#006 - Electronics - UI PCBs\"/>
    </mc:Choice>
  </mc:AlternateContent>
  <xr:revisionPtr revIDLastSave="0" documentId="13_ncr:1_{4E13C66E-7565-4191-BBEF-663A27553093}" xr6:coauthVersionLast="47" xr6:coauthVersionMax="47" xr10:uidLastSave="{00000000-0000-0000-0000-000000000000}"/>
  <bookViews>
    <workbookView xWindow="-120" yWindow="-120" windowWidth="29040" windowHeight="15720" tabRatio="805" firstSheet="1" activeTab="4" xr2:uid="{00000000-000D-0000-FFFF-FFFF00000000}"/>
  </bookViews>
  <sheets>
    <sheet name="Log" sheetId="106" state="veryHidden" r:id="rId1"/>
    <sheet name="BOM" sheetId="50" r:id="rId2"/>
    <sheet name="Calculation" sheetId="38" r:id="rId3"/>
    <sheet name="Premises" sheetId="45" r:id="rId4"/>
    <sheet name="Analysis" sheetId="102" r:id="rId5"/>
    <sheet name="Cluster" sheetId="90" state="hidden" r:id="rId6"/>
    <sheet name="MHR" sheetId="44" r:id="rId7"/>
    <sheet name="MAT" sheetId="43" r:id="rId8"/>
    <sheet name="LOC" sheetId="48" r:id="rId9"/>
    <sheet name="E-BOM PCB Main UI" sheetId="194" r:id="rId10"/>
    <sheet name="E-BOM PCB UI" sheetId="195" r:id="rId11"/>
    <sheet name="E-BOM PCB UI Middle" sheetId="196" r:id="rId12"/>
    <sheet name="E-BOM PCB UI Upper" sheetId="197" r:id="rId13"/>
    <sheet name="Info" sheetId="101" r:id="rId14"/>
    <sheet name="IndirectCosts" sheetId="47" state="hidden" r:id="rId15"/>
    <sheet name="Handling" sheetId="82" state="hidden" r:id="rId16"/>
    <sheet name="Diagramm1" sheetId="86" state="veryHidden" r:id="rId17"/>
    <sheet name="Diagramm2" sheetId="99" state="veryHidden" r:id="rId18"/>
    <sheet name="TemplateColumn" sheetId="79" state="veryHidden" r:id="rId19"/>
    <sheet name="TemplateRow" sheetId="71" state="veryHidden" r:id="rId20"/>
    <sheet name="Temp" sheetId="85" state="veryHidden" r:id="rId21"/>
    <sheet name="Documentation" sheetId="89" state="veryHidden" r:id="rId22"/>
    <sheet name="Translation" sheetId="77" state="veryHidden" r:id="rId23"/>
    <sheet name="Tutorial" sheetId="104" state="veryHidden" r:id="rId24"/>
    <sheet name="XML" sheetId="100" state="veryHidden" r:id="rId25"/>
    <sheet name="AssemblyData" sheetId="192" state="veryHidden" r:id="rId26"/>
    <sheet name="AssemblyTemplate" sheetId="193" state="veryHidden" r:id="rId27"/>
    <sheet name="Settings" sheetId="76" state="veryHidden" r:id="rId28"/>
  </sheets>
  <definedNames>
    <definedName name="_xlnm._FilterDatabase" localSheetId="1" hidden="1">BOM!$A$1:$Q$3</definedName>
    <definedName name="_xlnm._FilterDatabase" localSheetId="2" hidden="1">Calculation!$B$11:$FL$65</definedName>
    <definedName name="_xlnm._FilterDatabase" localSheetId="9" hidden="1">'E-BOM PCB Main UI'!$A$5:$Z$5</definedName>
    <definedName name="_xlnm._FilterDatabase" localSheetId="10" hidden="1">'E-BOM PCB UI'!$A$5:$Z$5</definedName>
    <definedName name="_xlnm._FilterDatabase" localSheetId="11" hidden="1">'E-BOM PCB UI Middle'!$A$5:$Z$5</definedName>
    <definedName name="_xlnm._FilterDatabase" localSheetId="12" hidden="1">'E-BOM PCB UI Upper'!$A$5:$Z$5</definedName>
    <definedName name="_xlnm._FilterDatabase" localSheetId="6" hidden="1">MHR!$B$5:$AX$5</definedName>
    <definedName name="_xlchart.v1.0" hidden="1">Temp!$C$36:$C$41</definedName>
    <definedName name="_xlchart.v1.1" hidden="1">Temp!$D$35</definedName>
    <definedName name="_xlchart.v1.2" hidden="1">Temp!$D$36:$D$41</definedName>
    <definedName name="ASY_AdhesiveApplication_1" hidden="1">Tab_ASY_AdhesiveApplication_1[DE]</definedName>
    <definedName name="ASY_AdhesiveApplication_2" hidden="1">Tab_ASY_AdhesiveApplication_2[DE]</definedName>
    <definedName name="ASY_AdhesiveApplication_3" hidden="1">Tab_ASY_AdhesiveApplication_3[DE]</definedName>
    <definedName name="ASY_AdhesiveApplication_4" hidden="1">Tab_ASY_AdhesiveApplication_4[DE]</definedName>
    <definedName name="ASY_AssembleStandardParts" hidden="1">Tab_ASY_AssembleStandardParts[DE]</definedName>
    <definedName name="ASY_BodyMotion" hidden="1">Tab_ASY_BodyMotion[DE]</definedName>
    <definedName name="ASY_CheckingMeasuring_1" hidden="1">Tab_ASY_CheckingMeasuring_1[DE]</definedName>
    <definedName name="ASY_CheckingMeasuring_2" hidden="1">Tab_ASY_CheckingMeasuring_2[DE]</definedName>
    <definedName name="ASY_CheckingMeasuring_3" hidden="1">Tab_ASY_CheckingMeasuring_3[DE]</definedName>
    <definedName name="ASY_CheckingMeasuring_4" hidden="1">Tab_ASY_CheckingMeasuring_4[DE]</definedName>
    <definedName name="ASY_CheckingMeasuring_5" hidden="1">Tab_ASY_CheckingMeasuring_5[DE]</definedName>
    <definedName name="ASY_HandlingTools_1" hidden="1">Tab_ASY_HandlingTools_1[DE]</definedName>
    <definedName name="ASY_HandlingTools_2" hidden="1">Tab_ASY_HandlingTools_2[DE]</definedName>
    <definedName name="ASY_HandlingTools_3" hidden="1">Tab_ASY_HandlingTools_3[DE]</definedName>
    <definedName name="ASY_HandlingTools_4" hidden="1">Tab_ASY_HandlingTools_4[DE]</definedName>
    <definedName name="ASY_Marking" hidden="1">Tab_ASY_Marking[DE]</definedName>
    <definedName name="ASY_MotionCycles_1" hidden="1">Tab_ASY_MotionCycles_1[DE]</definedName>
    <definedName name="ASY_MotionCycles_2" hidden="1">Tab_ASY_MotionCycles_2[DE]</definedName>
    <definedName name="ASY_MotionCycles_3" hidden="1">Tab_ASY_MotionCycles_3[DE]</definedName>
    <definedName name="ASY_MotionCycles_4" hidden="1">Tab_ASY_MotionCycles_4[DE]</definedName>
    <definedName name="ASY_Operate_1" hidden="1">Tab_ASY_Operate_1[DE]</definedName>
    <definedName name="ASY_Operate_2" hidden="1">Tab_ASY_Operate_2[DE]</definedName>
    <definedName name="ASY_Operate_3" hidden="1">Tab_ASY_Operate_3[DE]</definedName>
    <definedName name="ASY_Operate_4" hidden="1">Tab_ASY_Operate_4[DE]</definedName>
    <definedName name="ASY_Operations" hidden="1">Tab_ASY_Operations[DE]</definedName>
    <definedName name="ASY_Operations_DE">Tab_ASY_Operations[DE]</definedName>
    <definedName name="ASY_Operations_EN">Tab_ASY_Operations[EN]</definedName>
    <definedName name="ASY_PickandPlace_1" hidden="1">Tab_ASY_PickandPlace_1[DE]</definedName>
    <definedName name="ASY_PickandPlace_2" hidden="1">Tab_ASY_PickandPlace_2[DE]</definedName>
    <definedName name="ASY_PickandPlace_3" hidden="1">Tab_ASY_PickandPlace_3[DE]</definedName>
    <definedName name="ASY_PickandPlace_4" hidden="1">Tab_ASY_PickandPlace_4[DE]</definedName>
    <definedName name="ASY_Place_1" hidden="1">Tab_ASY_Place_1[DE]</definedName>
    <definedName name="ASY_Place_2" hidden="1">Tab_ASY_Place_2[DE]</definedName>
    <definedName name="ASY_Place_3" hidden="1">Tab_ASY_Place_3[DE]</definedName>
    <definedName name="ASY_Place_4" hidden="1">Tab_ASY_Place_4[DE]</definedName>
    <definedName name="ASY_Screwing_1" hidden="1">Tab_ASY_Screwing_1[DE]</definedName>
    <definedName name="ASY_Screwing_2" hidden="1">Tab_ASY_Screwing_2[DE]</definedName>
    <definedName name="ASY_Screwing_3" hidden="1">Tab_ASY_Screwing_3[DE]</definedName>
    <definedName name="ASY_Screwing_4" hidden="1">Tab_ASY_Screwing_4[DE]</definedName>
    <definedName name="ASY_TighteningLoosening_1" hidden="1">Tab_ASY_TighteningLoosening_1[DE]</definedName>
    <definedName name="ASY_TighteningLoosening_2" hidden="1">Tab_ASY_TighteningLoosening_2[DE]</definedName>
    <definedName name="ASY_TighteningLoosening_3" hidden="1">Tab_ASY_TighteningLoosening_3[DE]</definedName>
    <definedName name="ASY_Treatment_1" hidden="1">Tab_ASY_Treatment_1[DE]</definedName>
    <definedName name="ASY_Treatment_2" hidden="1">Tab_ASY_Treatment_2[DE]</definedName>
    <definedName name="ASY_Treatment_3" hidden="1">Tab_ASY_Treatment_3[DE]</definedName>
    <definedName name="ASY_Treatment_4" hidden="1">Tab_ASY_Treatment_4[DE]</definedName>
    <definedName name="ASY_Treatment_5" hidden="1">Tab_ASY_Treatment_5[DE]</definedName>
    <definedName name="ASY_Unpacking_1" hidden="1">Tab_ASY_Unpacking_1[DE]</definedName>
    <definedName name="ASY_Unpacking_2" hidden="1">Tab_ASY_Unpacking_2[DE]</definedName>
    <definedName name="ASY_Unpacking_3" hidden="1">Tab_ASY_Unpacking_3[DE]</definedName>
    <definedName name="ASY_VisualCheck" hidden="1">Tab_ASY_VisualCheck[DE]</definedName>
    <definedName name="Auto" comment="Translation" localSheetId="22">Translation!$E$32</definedName>
    <definedName name="AutoManual_Dropdown">Translation!$E$31:$E$32</definedName>
    <definedName name="BOM" comment="BOM" localSheetId="25">BOM!$A$3:INDEX(BOM!$R:$R,1+COUNTA(BOM!$C:$C))</definedName>
    <definedName name="BOM" comment="BOM">BOM!$A$3:INDEX(BOM!$R:$R,1+COUNTA(BOM!$C:$C))</definedName>
    <definedName name="BOM_Dropdown" comment="BOM" localSheetId="25">BOM!$A$3:INDEX(BOM!$A:$A,2+COUNTA(BOM!$A:$A))</definedName>
    <definedName name="BOM_Dropdown" comment="BOM">BOM!$A$3:INDEX(BOM!$A:$A,2+COUNTA(BOM!$A:$A))</definedName>
    <definedName name="CALC" comment="Calculation">Calculation!$B$11:$FN$65</definedName>
    <definedName name="Cluster1_Dropdown" comment="Cluster">Cluster1[Production]</definedName>
    <definedName name="Cluster2_Dropdown" comment="Cluster">Cluster2[Material]</definedName>
    <definedName name="Cluster3_Dropdown" comment="Cluster">Cluster3[Cluster 3]</definedName>
    <definedName name="Currency" comment="Premises">Premises!$C$5</definedName>
    <definedName name="CycleTime" comment="Calculation">Calculation!$F1</definedName>
    <definedName name="EBOM_CPrice" localSheetId="9" hidden="1">IF('E-BOM PCB Main UI'!XFA1="0402",0.0018,IF('E-BOM PCB Main UI'!XFA1="0603",0.0025,IF('E-BOM PCB Main UI'!XFA1="0805",0.0057,IF('E-BOM PCB Main UI'!XFA1="1206",0.018,IF('E-BOM PCB Main UI'!XFA1="1210",0.1028,0.0262)))))</definedName>
    <definedName name="EBOM_CPrice" localSheetId="10" hidden="1">IF('E-BOM PCB UI'!XFA1="0402",0.0018,IF('E-BOM PCB UI'!XFA1="0603",0.0025,IF('E-BOM PCB UI'!XFA1="0805",0.0057,IF('E-BOM PCB UI'!XFA1="1206",0.018,IF('E-BOM PCB UI'!XFA1="1210",0.1028,0.0262)))))</definedName>
    <definedName name="EBOM_CPrice" localSheetId="11" hidden="1">IF('E-BOM PCB UI Middle'!XFA1="0402",0.0018,IF('E-BOM PCB UI Middle'!XFA1="0603",0.0025,IF('E-BOM PCB UI Middle'!XFA1="0805",0.0057,IF('E-BOM PCB UI Middle'!XFA1="1206",0.018,IF('E-BOM PCB UI Middle'!XFA1="1210",0.1028,0.0262)))))</definedName>
    <definedName name="EBOM_CPrice" localSheetId="12" hidden="1">IF('E-BOM PCB UI Upper'!XFA1="0402",0.0018,IF('E-BOM PCB UI Upper'!XFA1="0603",0.0025,IF('E-BOM PCB UI Upper'!XFA1="0805",0.0057,IF('E-BOM PCB UI Upper'!XFA1="1206",0.018,IF('E-BOM PCB UI Upper'!XFA1="1210",0.1028,0.0262)))))</definedName>
    <definedName name="EBOM_CPrice" hidden="1">IF(#REF!="0402",0.0018,IF(#REF!="0603",0.0025,IF(#REF!="0805",0.0057,IF(#REF!="1206",0.018,IF(#REF!="1210",0.1028,0.0262)))))</definedName>
    <definedName name="EBOM_DTPrice" localSheetId="9" hidden="1">IF('E-BOM PCB Main UI'!XFA1="DO-214AA / SMB",0.0362,IF('E-BOM PCB Main UI'!XFA1="DO-214AB / SMC",0.0497,IF('E-BOM PCB Main UI'!XFA1="DO-214AC / SMA",0.0224,IF('E-BOM PCB Main UI'!XFA1="DO-219AB / SMF",0.0556,IF('E-BOM PCB Main UI'!XFA1="SOD-123",0.0281,IF('E-BOM PCB Main UI'!XFA1="SOD-323",0.0171,IF('E-BOM PCB Main UI'!XFA1="SOT-223",0.1072,IF('E-BOM PCB Main UI'!XFA1="SOT-23",0.0115,IF('E-BOM PCB Main UI'!XFA1="SOT-23-3",0.008,IF('E-BOM PCB Main UI'!XFA1="SOT-23-5",0.1399,IF('E-BOM PCB Main UI'!XFA1="SOT-23-6",0.0656,IF('E-BOM PCB Main UI'!XFA1="SOT-323",0.0396,IF('E-BOM PCB Main UI'!XFA1="SOT-363",0.0458,)))))))))))))</definedName>
    <definedName name="EBOM_DTPrice" localSheetId="10" hidden="1">IF('E-BOM PCB UI'!XFA1="DO-214AA / SMB",0.0362,IF('E-BOM PCB UI'!XFA1="DO-214AB / SMC",0.0497,IF('E-BOM PCB UI'!XFA1="DO-214AC / SMA",0.0224,IF('E-BOM PCB UI'!XFA1="DO-219AB / SMF",0.0556,IF('E-BOM PCB UI'!XFA1="SOD-123",0.0281,IF('E-BOM PCB UI'!XFA1="SOD-323",0.0171,IF('E-BOM PCB UI'!XFA1="SOT-223",0.1072,IF('E-BOM PCB UI'!XFA1="SOT-23",0.0115,IF('E-BOM PCB UI'!XFA1="SOT-23-3",0.008,IF('E-BOM PCB UI'!XFA1="SOT-23-5",0.1399,IF('E-BOM PCB UI'!XFA1="SOT-23-6",0.0656,IF('E-BOM PCB UI'!XFA1="SOT-323",0.0396,IF('E-BOM PCB UI'!XFA1="SOT-363",0.0458,)))))))))))))</definedName>
    <definedName name="EBOM_DTPrice" localSheetId="11" hidden="1">IF('E-BOM PCB UI Middle'!XFA1="DO-214AA / SMB",0.0362,IF('E-BOM PCB UI Middle'!XFA1="DO-214AB / SMC",0.0497,IF('E-BOM PCB UI Middle'!XFA1="DO-214AC / SMA",0.0224,IF('E-BOM PCB UI Middle'!XFA1="DO-219AB / SMF",0.0556,IF('E-BOM PCB UI Middle'!XFA1="SOD-123",0.0281,IF('E-BOM PCB UI Middle'!XFA1="SOD-323",0.0171,IF('E-BOM PCB UI Middle'!XFA1="SOT-223",0.1072,IF('E-BOM PCB UI Middle'!XFA1="SOT-23",0.0115,IF('E-BOM PCB UI Middle'!XFA1="SOT-23-3",0.008,IF('E-BOM PCB UI Middle'!XFA1="SOT-23-5",0.1399,IF('E-BOM PCB UI Middle'!XFA1="SOT-23-6",0.0656,IF('E-BOM PCB UI Middle'!XFA1="SOT-323",0.0396,IF('E-BOM PCB UI Middle'!XFA1="SOT-363",0.0458,)))))))))))))</definedName>
    <definedName name="EBOM_DTPrice" localSheetId="12" hidden="1">IF('E-BOM PCB UI Upper'!XFA1="DO-214AA / SMB",0.0362,IF('E-BOM PCB UI Upper'!XFA1="DO-214AB / SMC",0.0497,IF('E-BOM PCB UI Upper'!XFA1="DO-214AC / SMA",0.0224,IF('E-BOM PCB UI Upper'!XFA1="DO-219AB / SMF",0.0556,IF('E-BOM PCB UI Upper'!XFA1="SOD-123",0.0281,IF('E-BOM PCB UI Upper'!XFA1="SOD-323",0.0171,IF('E-BOM PCB UI Upper'!XFA1="SOT-223",0.1072,IF('E-BOM PCB UI Upper'!XFA1="SOT-23",0.0115,IF('E-BOM PCB UI Upper'!XFA1="SOT-23-3",0.008,IF('E-BOM PCB UI Upper'!XFA1="SOT-23-5",0.1399,IF('E-BOM PCB UI Upper'!XFA1="SOT-23-6",0.0656,IF('E-BOM PCB UI Upper'!XFA1="SOT-323",0.0396,IF('E-BOM PCB UI Upper'!XFA1="SOT-363",0.0458,)))))))))))))</definedName>
    <definedName name="EBOM_DTPrice" hidden="1">IF(#REF!="DO-214AA / SMB",0.0362,IF(#REF!="DO-214AB / SMC",0.0497,IF(#REF!="DO-214AC / SMA",0.0224,IF(#REF!="DO-219AB / SMF",0.0556,IF(#REF!="SOD-123",0.0281,IF(#REF!="SOD-323",0.0171,IF(#REF!="SOT-223",0.1072,IF(#REF!="SOT-23",0.0115,IF(#REF!="SOT-23-3",0.008,IF(#REF!="SOT-23-5",0.1399,IF(#REF!="SOT-23-6",0.0656,IF(#REF!="SOT-323",0.0396,IF(#REF!="SOT-363",0.0458,)))))))))))))</definedName>
    <definedName name="EBOM_Factor" localSheetId="9" hidden="1">IFERROR(IF(OR('E-BOM PCB Main UI'!XEY1="Standard",'E-BOM PCB Main UI'!XEY1="Shortlist"),1,1/((3.021*'E-BOM PCB Main UI'!XEZ1^-0.175)/(3.021*(('E-BOM PCB Main UI'!$H$3*'E-BOM PCB Main UI'!XEQ1)^-0.175)))),0)</definedName>
    <definedName name="EBOM_Factor" localSheetId="10" hidden="1">IFERROR(IF(OR('E-BOM PCB UI'!XEY1="Standard",'E-BOM PCB UI'!XEY1="Shortlist"),1,1/((3.021*'E-BOM PCB UI'!XEZ1^-0.175)/(3.021*(('E-BOM PCB UI'!$H$3*'E-BOM PCB UI'!XEQ1)^-0.175)))),0)</definedName>
    <definedName name="EBOM_Factor" localSheetId="11" hidden="1">IFERROR(IF(OR('E-BOM PCB UI Middle'!XEY1="Standard",'E-BOM PCB UI Middle'!XEY1="Shortlist"),1,1/((3.021*'E-BOM PCB UI Middle'!XEZ1^-0.175)/(3.021*(('E-BOM PCB UI Middle'!$H$3*'E-BOM PCB UI Middle'!XEQ1)^-0.175)))),0)</definedName>
    <definedName name="EBOM_Factor" localSheetId="12" hidden="1">IFERROR(IF(OR('E-BOM PCB UI Upper'!XEY1="Standard",'E-BOM PCB UI Upper'!XEY1="Shortlist"),1,1/((3.021*'E-BOM PCB UI Upper'!XEZ1^-0.175)/(3.021*(('E-BOM PCB UI Upper'!$H$3*'E-BOM PCB UI Upper'!XEQ1)^-0.175)))),0)</definedName>
    <definedName name="EBOM_Factor" hidden="1">IFERROR(IF(OR(#REF!="Standard",#REF!="Shortlist"),1,1/((3.021*#REF!^-0.175)/(3.021*((#REF!*#REF!)^-0.175)))),0)</definedName>
    <definedName name="EBOM_IFPrice" localSheetId="9" hidden="1">IF('E-BOM PCB Main UI'!XFA1="0402",0.0066,IF('E-BOM PCB Main UI'!XFA1="0603",0.0081,IF('E-BOM PCB Main UI'!XFA1="0805",0.0143,IF('E-BOM PCB Main UI'!XFA1="1206",0.0188,0.012))))</definedName>
    <definedName name="EBOM_IFPrice" localSheetId="10" hidden="1">IF('E-BOM PCB UI'!XFA1="0402",0.0066,IF('E-BOM PCB UI'!XFA1="0603",0.0081,IF('E-BOM PCB UI'!XFA1="0805",0.0143,IF('E-BOM PCB UI'!XFA1="1206",0.0188,0.012))))</definedName>
    <definedName name="EBOM_IFPrice" localSheetId="11" hidden="1">IF('E-BOM PCB UI Middle'!XFA1="0402",0.0066,IF('E-BOM PCB UI Middle'!XFA1="0603",0.0081,IF('E-BOM PCB UI Middle'!XFA1="0805",0.0143,IF('E-BOM PCB UI Middle'!XFA1="1206",0.0188,0.012))))</definedName>
    <definedName name="EBOM_IFPrice" localSheetId="12" hidden="1">IF('E-BOM PCB UI Upper'!XFA1="0402",0.0066,IF('E-BOM PCB UI Upper'!XFA1="0603",0.0081,IF('E-BOM PCB UI Upper'!XFA1="0805",0.0143,IF('E-BOM PCB UI Upper'!XFA1="1206",0.0188,0.012))))</definedName>
    <definedName name="EBOM_IFPrice" hidden="1">IF(#REF!="0402",0.0066,IF(#REF!="0603",0.0081,IF(#REF!="0805",0.0143,IF(#REF!="1206",0.0188,0.012))))</definedName>
    <definedName name="EBOM_Price" localSheetId="10" hidden="1">_xlfn.IFS('E-BOM PCB UI'!$C1='E-BOM PCB UI'!$C$84,'E-BOM PCB UI'!EBOM_CPrice,'E-BOM PCB UI'!$C1='E-BOM PCB UI'!$C$85,'E-BOM PCB UI'!EBOM_IFPrice,'E-BOM PCB UI'!$C1='E-BOM PCB UI'!$C$86,'E-BOM PCB UI'!EBOM_ResPrice,'E-BOM PCB UI'!$C1='E-BOM PCB UI'!$C$87,'E-BOM PCB UI'!EBOM_DTPrice,'E-BOM PCB UI'!$C1&lt;&gt;"",'E-BOM PCB UI'!$C$93,TRUE,0)</definedName>
    <definedName name="EBOM_Price" localSheetId="11" hidden="1">_xlfn.IFS('E-BOM PCB UI Middle'!$C1='E-BOM PCB UI Middle'!$C$61,'E-BOM PCB UI Middle'!EBOM_CPrice,'E-BOM PCB UI Middle'!$C1='E-BOM PCB UI Middle'!$C$62,'E-BOM PCB UI Middle'!EBOM_IFPrice,'E-BOM PCB UI Middle'!$C1='E-BOM PCB UI Middle'!$C$63,'E-BOM PCB UI Middle'!EBOM_ResPrice,'E-BOM PCB UI Middle'!$C1='E-BOM PCB UI Middle'!$C$64,'E-BOM PCB UI Middle'!EBOM_DTPrice,'E-BOM PCB UI Middle'!$C1&lt;&gt;"",'E-BOM PCB UI Middle'!$C$70,TRUE,0)</definedName>
    <definedName name="EBOM_Price" localSheetId="12" hidden="1">_xlfn.IFS('E-BOM PCB UI Upper'!$C1='E-BOM PCB UI Upper'!$C$65,'E-BOM PCB UI Upper'!EBOM_CPrice,'E-BOM PCB UI Upper'!$C1='E-BOM PCB UI Upper'!$C$66,'E-BOM PCB UI Upper'!EBOM_IFPrice,'E-BOM PCB UI Upper'!$C1='E-BOM PCB UI Upper'!$C$67,'E-BOM PCB UI Upper'!EBOM_ResPrice,'E-BOM PCB UI Upper'!$C1='E-BOM PCB UI Upper'!$C$68,'E-BOM PCB UI Upper'!EBOM_DTPrice,'E-BOM PCB UI Upper'!$C1&lt;&gt;"",'E-BOM PCB UI Upper'!$C$74,TRUE,0)</definedName>
    <definedName name="EBOM_Price" hidden="1">_xlfn.IFS('E-BOM PCB Main UI'!$C1='E-BOM PCB Main UI'!$C$72,'E-BOM PCB Main UI'!EBOM_CPrice,'E-BOM PCB Main UI'!$C1='E-BOM PCB Main UI'!$C$73,'E-BOM PCB Main UI'!EBOM_IFPrice,'E-BOM PCB Main UI'!$C1='E-BOM PCB Main UI'!$C$74,'E-BOM PCB Main UI'!EBOM_ResPrice,'E-BOM PCB Main UI'!$C1='E-BOM PCB Main UI'!$C$75,'E-BOM PCB Main UI'!EBOM_DTPrice,'E-BOM PCB Main UI'!$C1&lt;&gt;"",'E-BOM PCB Main UI'!$C$81,TRUE,0)</definedName>
    <definedName name="EBOM_ResPrice" localSheetId="9" hidden="1">IF('E-BOM PCB Main UI'!XFD1="",IF('E-BOM PCB Main UI'!XFA1="0402",0.0008,IF('E-BOM PCB Main UI'!XFA1="0603",0.0046,IF('E-BOM PCB Main UI'!XFA1="0805",0.0042,IF('E-BOM PCB Main UI'!XFA1="1206",0.0065,IF('E-BOM PCB Main UI'!XFA1="1210",0.0064,IF('E-BOM PCB Main UI'!XFA1="2010",0.0124,IF('E-BOM PCB Main UI'!XFA1="2512",0.03,0.0045))))))), IF('E-BOM PCB Main UI'!XFA1="0402",0.001*EXP(1)^(-0.043*'E-BOM PCB Main UI'!XFD1),IF('E-BOM PCB Main UI'!XFA1="0603",0.0086*EXP(1)^(-0.32*'E-BOM PCB Main UI'!XFD1),IF('E-BOM PCB Main UI'!XFA1="0805",0.0099*EXP(1)^(-0.516*'E-BOM PCB Main UI'!XFD1),IF('E-BOM PCB Main UI'!XFA1="1206",0.0142*EXP(1)^(-0.459*'E-BOM PCB Main UI'!XFD1),IF('E-BOM PCB Main UI'!XFA1="1210",0.0102*EXP(1)^(-0.192*'E-BOM PCB Main UI'!XFD1),IF('E-BOM PCB Main UI'!XFA1="2010",0.0163*EXP(1)^(-0.056*'E-BOM PCB Main UI'!XFD1),IF('E-BOM PCB Main UI'!XFA1="2512",0.0494*EXP(1)^(-0.216*'E-BOM PCB Main UI'!XFD1),0.0045))))))))</definedName>
    <definedName name="EBOM_ResPrice" localSheetId="10" hidden="1">IF('E-BOM PCB UI'!XFD1="",IF('E-BOM PCB UI'!XFA1="0402",0.0008,IF('E-BOM PCB UI'!XFA1="0603",0.0046,IF('E-BOM PCB UI'!XFA1="0805",0.0042,IF('E-BOM PCB UI'!XFA1="1206",0.0065,IF('E-BOM PCB UI'!XFA1="1210",0.0064,IF('E-BOM PCB UI'!XFA1="2010",0.0124,IF('E-BOM PCB UI'!XFA1="2512",0.03,0.0045))))))), IF('E-BOM PCB UI'!XFA1="0402",0.001*EXP(1)^(-0.043*'E-BOM PCB UI'!XFD1),IF('E-BOM PCB UI'!XFA1="0603",0.0086*EXP(1)^(-0.32*'E-BOM PCB UI'!XFD1),IF('E-BOM PCB UI'!XFA1="0805",0.0099*EXP(1)^(-0.516*'E-BOM PCB UI'!XFD1),IF('E-BOM PCB UI'!XFA1="1206",0.0142*EXP(1)^(-0.459*'E-BOM PCB UI'!XFD1),IF('E-BOM PCB UI'!XFA1="1210",0.0102*EXP(1)^(-0.192*'E-BOM PCB UI'!XFD1),IF('E-BOM PCB UI'!XFA1="2010",0.0163*EXP(1)^(-0.056*'E-BOM PCB UI'!XFD1),IF('E-BOM PCB UI'!XFA1="2512",0.0494*EXP(1)^(-0.216*'E-BOM PCB UI'!XFD1),0.0045))))))))</definedName>
    <definedName name="EBOM_ResPrice" localSheetId="11" hidden="1">IF('E-BOM PCB UI Middle'!XFD1="",IF('E-BOM PCB UI Middle'!XFA1="0402",0.0008,IF('E-BOM PCB UI Middle'!XFA1="0603",0.0046,IF('E-BOM PCB UI Middle'!XFA1="0805",0.0042,IF('E-BOM PCB UI Middle'!XFA1="1206",0.0065,IF('E-BOM PCB UI Middle'!XFA1="1210",0.0064,IF('E-BOM PCB UI Middle'!XFA1="2010",0.0124,IF('E-BOM PCB UI Middle'!XFA1="2512",0.03,0.0045))))))), IF('E-BOM PCB UI Middle'!XFA1="0402",0.001*EXP(1)^(-0.043*'E-BOM PCB UI Middle'!XFD1),IF('E-BOM PCB UI Middle'!XFA1="0603",0.0086*EXP(1)^(-0.32*'E-BOM PCB UI Middle'!XFD1),IF('E-BOM PCB UI Middle'!XFA1="0805",0.0099*EXP(1)^(-0.516*'E-BOM PCB UI Middle'!XFD1),IF('E-BOM PCB UI Middle'!XFA1="1206",0.0142*EXP(1)^(-0.459*'E-BOM PCB UI Middle'!XFD1),IF('E-BOM PCB UI Middle'!XFA1="1210",0.0102*EXP(1)^(-0.192*'E-BOM PCB UI Middle'!XFD1),IF('E-BOM PCB UI Middle'!XFA1="2010",0.0163*EXP(1)^(-0.056*'E-BOM PCB UI Middle'!XFD1),IF('E-BOM PCB UI Middle'!XFA1="2512",0.0494*EXP(1)^(-0.216*'E-BOM PCB UI Middle'!XFD1),0.0045))))))))</definedName>
    <definedName name="EBOM_ResPrice" localSheetId="12" hidden="1">IF('E-BOM PCB UI Upper'!XFD1="",IF('E-BOM PCB UI Upper'!XFA1="0402",0.0008,IF('E-BOM PCB UI Upper'!XFA1="0603",0.0046,IF('E-BOM PCB UI Upper'!XFA1="0805",0.0042,IF('E-BOM PCB UI Upper'!XFA1="1206",0.0065,IF('E-BOM PCB UI Upper'!XFA1="1210",0.0064,IF('E-BOM PCB UI Upper'!XFA1="2010",0.0124,IF('E-BOM PCB UI Upper'!XFA1="2512",0.03,0.0045))))))), IF('E-BOM PCB UI Upper'!XFA1="0402",0.001*EXP(1)^(-0.043*'E-BOM PCB UI Upper'!XFD1),IF('E-BOM PCB UI Upper'!XFA1="0603",0.0086*EXP(1)^(-0.32*'E-BOM PCB UI Upper'!XFD1),IF('E-BOM PCB UI Upper'!XFA1="0805",0.0099*EXP(1)^(-0.516*'E-BOM PCB UI Upper'!XFD1),IF('E-BOM PCB UI Upper'!XFA1="1206",0.0142*EXP(1)^(-0.459*'E-BOM PCB UI Upper'!XFD1),IF('E-BOM PCB UI Upper'!XFA1="1210",0.0102*EXP(1)^(-0.192*'E-BOM PCB UI Upper'!XFD1),IF('E-BOM PCB UI Upper'!XFA1="2010",0.0163*EXP(1)^(-0.056*'E-BOM PCB UI Upper'!XFD1),IF('E-BOM PCB UI Upper'!XFA1="2512",0.0494*EXP(1)^(-0.216*'E-BOM PCB UI Upper'!XFD1),0.0045))))))))</definedName>
    <definedName name="EBOM_ResPrice" hidden="1">IF(#REF!="",IF(#REF!="0402",0.0008,IF(#REF!="0603",0.0046,IF(#REF!="0805",0.0042,IF(#REF!="1206",0.0065,IF(#REF!="1210",0.0064,IF(#REF!="2010",0.0124,IF(#REF!="2512",0.03,0.0045))))))), IF(#REF!="0402",0.001*EXP(1)^(-0.043*#REF!),IF(#REF!="0603",0.0086*EXP(1)^(-0.32*#REF!),IF(#REF!="0805",0.0099*EXP(1)^(-0.516*#REF!),IF(#REF!="1206",0.0142*EXP(1)^(-0.459*#REF!),IF(#REF!="1210",0.0102*EXP(1)^(-0.192*#REF!),IF(#REF!="2010",0.0163*EXP(1)^(-0.056*#REF!),IF(#REF!="2512",0.0494*EXP(1)^(-0.216*#REF!),0.0045))))))))</definedName>
    <definedName name="EditMode">0</definedName>
    <definedName name="ExchangeRate" comment="Premises">Premises!$C$6</definedName>
    <definedName name="ExterneDaten_1" localSheetId="14" hidden="1">IndirectCosts!$C$6:$R$26</definedName>
    <definedName name="ExterneDaten_2" localSheetId="14" hidden="1">IndirectCosts!$AS$6:$BB$26</definedName>
    <definedName name="Factor" hidden="1">1</definedName>
    <definedName name="HandlingPrecise">Handling!$D$5:$F$9</definedName>
    <definedName name="HandlingUnprecise">Handling!$D$21:$F$25</definedName>
    <definedName name="InputCurrency" comment="Premises">Premises!$C$4</definedName>
    <definedName name="Language" localSheetId="9">'E-BOM PCB Main UI'!$B$81</definedName>
    <definedName name="Language" localSheetId="10">'E-BOM PCB UI'!$B$93</definedName>
    <definedName name="Language" localSheetId="11">'E-BOM PCB UI Middle'!$B$70</definedName>
    <definedName name="Language" localSheetId="12">'E-BOM PCB UI Upper'!$B$74</definedName>
    <definedName name="Language">Settings!$C$3</definedName>
    <definedName name="LOC_Dropdown" comment="LOC">LOC[Standort]</definedName>
    <definedName name="Luft" comment="Translation" localSheetId="22">Translation!$E$20</definedName>
    <definedName name="M" comment="Translation" localSheetId="22">Translation!$E$8</definedName>
    <definedName name="Machine" comment="Calculation">Calculation!$E1</definedName>
    <definedName name="Manuell" comment="Translation" localSheetId="22">Translation!$E$31</definedName>
    <definedName name="MAT_Dropdown" comment="MAT">MAT[Bezeichnung]</definedName>
    <definedName name="MAT_Price" comment="MAT">MAT[Preis (Input)]</definedName>
    <definedName name="MAT_Type" comment="MAT">MAT[Materialklasse]</definedName>
    <definedName name="MAT_Unit" comment="MAT">MAT[Einheit]</definedName>
    <definedName name="MAT_Used" comment="MAT">Calculation!$AQ$11:$AQ$67</definedName>
    <definedName name="MaxNumberOfRowsPerBlock">Settings!$C$14</definedName>
    <definedName name="MGK_Dropdown" comment="IndirectCosts">MGK[ID]</definedName>
    <definedName name="MHR_Dropdown" comment="MHR">MHR[Bezeichnung]</definedName>
    <definedName name="MHR_Used" comment="MHR">Calculation!$E$11:$E$67</definedName>
    <definedName name="ModeOfTransportation_Dropdown">Translation!$E$20:$E$23</definedName>
    <definedName name="ModeOfTransportationAtDestination_Dropdown">Translation!$E$25:$E$26</definedName>
    <definedName name="ModeOfTransportationAtStart_Dropdown">Translation!$E$23:$E$24</definedName>
    <definedName name="No" comment="Translation" localSheetId="22">Translation!$E$29</definedName>
    <definedName name="None" comment="Translation" localSheetId="22">Translation!$E$30</definedName>
    <definedName name="OrdersPerYear" comment="IndirectCosts" localSheetId="14">IF(IndirectCosts!$J1="Wöchentlich",52,IF(IndirectCosts!$J1="Monatlich",12,IF(IndirectCosts!$J1="Vierteljährlich",4,IF(IndirectCosts!$J1="Halbjährlich",2,IF(IndirectCosts!$J1="Jährlich",1,0)))))</definedName>
    <definedName name="Palette" comment="Translation" localSheetId="22">Translation!$E$27</definedName>
    <definedName name="PartsPerCycle" comment="Calculation">Calculation!$H1</definedName>
    <definedName name="Pcs" comment="Translation" localSheetId="22">Translation!$E$12</definedName>
    <definedName name="PointInTime">TODAY()</definedName>
    <definedName name="PointInTimeSpan">1</definedName>
    <definedName name="Premises" localSheetId="25">Premises!$B:$E</definedName>
    <definedName name="Premises">Premises!$B:$F</definedName>
    <definedName name="Premises_Dropdown" comment="Premises" localSheetId="25">TemplateColumn!$I$11:INDEX(TemplateColumn!$I$11:$I$30,COUNTIF(TemplateColumn!$I$11:$I$30,"&gt;0"))</definedName>
    <definedName name="Premises_Dropdown" comment="Premises">TemplateColumn!$I$11:INDEX(TemplateColumn!$I$11:$I$30,COUNTIF(TemplateColumn!$I$11:$I$30,"&gt;0"))</definedName>
    <definedName name="PremisesToExport" comment="Premises">Premises!$12:$26</definedName>
    <definedName name="Project_Factor" localSheetId="9">'E-BOM PCB Main UI'!$T$3</definedName>
    <definedName name="Project_Factor" localSheetId="10">'E-BOM PCB UI'!$T$3</definedName>
    <definedName name="Project_Factor" localSheetId="11">'E-BOM PCB UI Middle'!$T$3</definedName>
    <definedName name="Project_Factor" localSheetId="12">'E-BOM PCB UI Upper'!$T$3</definedName>
    <definedName name="Project_Factor">#REF!</definedName>
    <definedName name="Prozesse">{"January";"February";"March"}</definedName>
    <definedName name="Revision">Settings!$C$102</definedName>
    <definedName name="Ribbon" localSheetId="25" hidden="1">1970514216752</definedName>
    <definedName name="Ribbon" localSheetId="26" hidden="1">1970514216752</definedName>
    <definedName name="Ribbon" hidden="1">1942970595920</definedName>
    <definedName name="Schiene" comment="Translation" localSheetId="22">Translation!$E$22</definedName>
    <definedName name="SchienePlusStraße" comment="Translation" localSheetId="22">Translation!$E$26</definedName>
    <definedName name="See" comment="Translation" localSheetId="22">Translation!$E$21</definedName>
    <definedName name="Straße" comment="Translation" localSheetId="22">Translation!$E$23</definedName>
    <definedName name="StraßePlusSchiene" comment="Translation" localSheetId="22">Translation!$E$24</definedName>
    <definedName name="Version">Settings!$C$101</definedName>
    <definedName name="Yes" comment="Translation" localSheetId="22">Translation!$E$28</definedName>
    <definedName name="YesNo_Dropdown">Translation!$E$28:$E$29</definedName>
  </definedNames>
  <calcPr calcId="191029"/>
  <customWorkbookViews>
    <customWorkbookView name="tobias.pritscher - Persönliche Ansicht" guid="{D0EE8710-3E3A-4E44-B06A-883D3DC087C7}" mergeInterval="0" personalView="1" maximized="1" windowWidth="1676" windowHeight="912" tabRatio="769" activeSheetId="7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2" i="195" l="1"/>
  <c r="T36" i="195"/>
  <c r="T18" i="194" l="1"/>
  <c r="T19" i="194"/>
  <c r="T20" i="194"/>
  <c r="T21" i="194"/>
  <c r="T22" i="194"/>
  <c r="T23" i="194"/>
  <c r="T24" i="194"/>
  <c r="T25" i="194"/>
  <c r="T26" i="194"/>
  <c r="T27" i="194"/>
  <c r="T28" i="194"/>
  <c r="T29" i="194"/>
  <c r="T30" i="194"/>
  <c r="T31" i="194"/>
  <c r="T32" i="194"/>
  <c r="T33" i="194"/>
  <c r="T20" i="195"/>
  <c r="T21" i="195"/>
  <c r="T22" i="195"/>
  <c r="T23" i="195"/>
  <c r="T24" i="195"/>
  <c r="T25" i="195"/>
  <c r="T26" i="195"/>
  <c r="T27" i="195"/>
  <c r="T28" i="195"/>
  <c r="T29" i="195"/>
  <c r="T30" i="195"/>
  <c r="T31" i="195"/>
  <c r="T32" i="195"/>
  <c r="T33" i="195"/>
  <c r="T43" i="195"/>
  <c r="T44" i="195"/>
  <c r="T45" i="195"/>
  <c r="T12" i="197" l="1"/>
  <c r="T13" i="197"/>
  <c r="T14" i="197"/>
  <c r="T15" i="197"/>
  <c r="T16" i="197"/>
  <c r="T17" i="197"/>
  <c r="F23" i="38"/>
  <c r="U12" i="44"/>
  <c r="V12" i="44"/>
  <c r="W12" i="44"/>
  <c r="AI12" i="44"/>
  <c r="AK12" i="44"/>
  <c r="CJ24" i="38"/>
  <c r="AT24" i="38" s="1" a="1"/>
  <c r="AT24" i="38" s="1"/>
  <c r="CI24" i="38"/>
  <c r="AM24" i="38" s="1" a="1"/>
  <c r="AM24" i="38" s="1"/>
  <c r="AK24" i="38"/>
  <c r="AF24" i="38"/>
  <c r="AA24" i="38"/>
  <c r="U24" i="38" a="1"/>
  <c r="U24" i="38" s="1"/>
  <c r="V24" i="38" s="1"/>
  <c r="Q24" i="38" a="1"/>
  <c r="Q24" i="38" s="1"/>
  <c r="P24" i="38" a="1"/>
  <c r="P24" i="38" s="1"/>
  <c r="R24" i="38" s="1"/>
  <c r="J24" i="38"/>
  <c r="C26" i="101"/>
  <c r="C25" i="101"/>
  <c r="C24" i="101"/>
  <c r="C23" i="101"/>
  <c r="C22" i="101"/>
  <c r="C21" i="101"/>
  <c r="E17" i="101"/>
  <c r="C17" i="101"/>
  <c r="CJ55" i="38"/>
  <c r="AT55" i="38" s="1" a="1"/>
  <c r="AT55" i="38" s="1"/>
  <c r="CI55" i="38"/>
  <c r="I55" i="38" s="1" a="1"/>
  <c r="I55" i="38" s="1"/>
  <c r="AK55" i="38"/>
  <c r="AF55" i="38"/>
  <c r="AA55" i="38"/>
  <c r="U55" i="38" a="1"/>
  <c r="U55" i="38" s="1"/>
  <c r="V55" i="38" s="1"/>
  <c r="Q55" i="38" a="1"/>
  <c r="Q55" i="38" s="1"/>
  <c r="P55" i="38" a="1"/>
  <c r="P55" i="38" s="1"/>
  <c r="R55" i="38" s="1"/>
  <c r="J55" i="38"/>
  <c r="CJ56" i="38"/>
  <c r="AS56" i="38" s="1" a="1"/>
  <c r="AS56" i="38" s="1"/>
  <c r="CI56" i="38"/>
  <c r="AK56" i="38"/>
  <c r="AF56" i="38"/>
  <c r="AA56" i="38"/>
  <c r="CJ57" i="38"/>
  <c r="AT57" i="38" s="1" a="1"/>
  <c r="AT57" i="38" s="1"/>
  <c r="CI57" i="38"/>
  <c r="AK57" i="38"/>
  <c r="AF57" i="38"/>
  <c r="AA57" i="38"/>
  <c r="CJ58" i="38"/>
  <c r="AT58" i="38" s="1" a="1"/>
  <c r="AT58" i="38" s="1"/>
  <c r="CI58" i="38"/>
  <c r="AK58" i="38"/>
  <c r="AF58" i="38"/>
  <c r="AA58" i="38"/>
  <c r="AS24" i="38" l="1" a="1"/>
  <c r="AS24" i="38" s="1"/>
  <c r="E18" i="101"/>
  <c r="E24" i="101" s="1"/>
  <c r="R42" i="195" s="1"/>
  <c r="I24" i="38" a="1"/>
  <c r="I24" i="38" s="1"/>
  <c r="E21" i="101"/>
  <c r="R24" i="194" s="1"/>
  <c r="E22" i="101"/>
  <c r="R25" i="194" s="1"/>
  <c r="E26" i="101"/>
  <c r="R17" i="197" s="1"/>
  <c r="E23" i="101"/>
  <c r="R30" i="195" s="1"/>
  <c r="AO24" i="38"/>
  <c r="AU24" i="38"/>
  <c r="AY24" i="38" a="1"/>
  <c r="AY24" i="38" s="1"/>
  <c r="AZ24" i="38" s="1"/>
  <c r="AN24" i="38" a="1"/>
  <c r="AN24" i="38" s="1"/>
  <c r="AG24" i="38" a="1"/>
  <c r="AG24" i="38" s="1"/>
  <c r="AL24" i="38" s="1"/>
  <c r="AS57" i="38" a="1"/>
  <c r="AS57" i="38" s="1"/>
  <c r="AM55" i="38" a="1"/>
  <c r="AM55" i="38" s="1"/>
  <c r="AS55" i="38" a="1"/>
  <c r="AS55" i="38" s="1"/>
  <c r="AY55" i="38" a="1"/>
  <c r="AY55" i="38" s="1"/>
  <c r="AZ55" i="38" s="1"/>
  <c r="AU55" i="38"/>
  <c r="AN55" i="38" a="1"/>
  <c r="AN55" i="38" s="1"/>
  <c r="AT56" i="38" a="1"/>
  <c r="AT56" i="38" s="1"/>
  <c r="AY56" i="38" s="1" a="1"/>
  <c r="AY56" i="38" s="1"/>
  <c r="AZ56" i="38" s="1"/>
  <c r="AG55" i="38" a="1"/>
  <c r="AG55" i="38" s="1"/>
  <c r="AL55" i="38" s="1"/>
  <c r="AO55" i="38"/>
  <c r="AS58" i="38" a="1"/>
  <c r="AS58" i="38" s="1"/>
  <c r="AY57" i="38" a="1"/>
  <c r="AY57" i="38" s="1"/>
  <c r="AZ57" i="38" s="1"/>
  <c r="AU57" i="38"/>
  <c r="AY58" i="38" a="1"/>
  <c r="AY58" i="38" s="1"/>
  <c r="AZ58" i="38" s="1"/>
  <c r="AU58" i="38"/>
  <c r="F42" i="38"/>
  <c r="CJ45" i="38"/>
  <c r="AT45" i="38" s="1" a="1"/>
  <c r="AT45" i="38" s="1"/>
  <c r="CI45" i="38"/>
  <c r="AM45" i="38" s="1" a="1"/>
  <c r="AM45" i="38" s="1"/>
  <c r="AK45" i="38"/>
  <c r="AF45" i="38"/>
  <c r="AA45" i="38"/>
  <c r="U45" i="38" a="1"/>
  <c r="U45" i="38" s="1"/>
  <c r="V45" i="38" s="1"/>
  <c r="Q45" i="38" a="1"/>
  <c r="Q45" i="38" s="1"/>
  <c r="P45" i="38" a="1"/>
  <c r="P45" i="38" s="1"/>
  <c r="R45" i="38" s="1"/>
  <c r="J45" i="38"/>
  <c r="CJ41" i="38"/>
  <c r="AT41" i="38" s="1" a="1"/>
  <c r="AT41" i="38" s="1"/>
  <c r="CI41" i="38"/>
  <c r="I41" i="38" s="1" a="1"/>
  <c r="I41" i="38" s="1"/>
  <c r="AK41" i="38"/>
  <c r="AF41" i="38"/>
  <c r="AA41" i="38"/>
  <c r="U41" i="38" a="1"/>
  <c r="U41" i="38" s="1"/>
  <c r="V41" i="38" s="1"/>
  <c r="Q41" i="38" a="1"/>
  <c r="Q41" i="38" s="1"/>
  <c r="P41" i="38" a="1"/>
  <c r="P41" i="38" s="1"/>
  <c r="R41" i="38" s="1"/>
  <c r="J41" i="38"/>
  <c r="CJ42" i="38"/>
  <c r="AT42" i="38" s="1" a="1"/>
  <c r="AT42" i="38" s="1"/>
  <c r="CI42" i="38"/>
  <c r="AK42" i="38"/>
  <c r="AF42" i="38"/>
  <c r="AA42" i="38"/>
  <c r="CJ43" i="38"/>
  <c r="AT43" i="38" s="1" a="1"/>
  <c r="AT43" i="38" s="1"/>
  <c r="CI43" i="38"/>
  <c r="AK43" i="38"/>
  <c r="AF43" i="38"/>
  <c r="AA43" i="38"/>
  <c r="F34" i="38"/>
  <c r="E25" i="101" l="1"/>
  <c r="R9" i="196" s="1"/>
  <c r="AP24" i="38"/>
  <c r="BM24" i="38"/>
  <c r="AV24" i="38" a="1"/>
  <c r="AV24" i="38" s="1"/>
  <c r="AX24" i="38" s="1"/>
  <c r="AU56" i="38"/>
  <c r="BM56" i="38" s="1"/>
  <c r="AV55" i="38" a="1"/>
  <c r="AV55" i="38" s="1"/>
  <c r="AX55" i="38" s="1"/>
  <c r="BM55" i="38"/>
  <c r="AP55" i="38"/>
  <c r="AV57" i="38" a="1"/>
  <c r="AV57" i="38" s="1"/>
  <c r="AX57" i="38" s="1"/>
  <c r="BM57" i="38"/>
  <c r="AV58" i="38" a="1"/>
  <c r="AV58" i="38" s="1"/>
  <c r="AX58" i="38" s="1"/>
  <c r="BA58" i="38" s="1"/>
  <c r="BM58" i="38"/>
  <c r="AM41" i="38" a="1"/>
  <c r="AM41" i="38" s="1"/>
  <c r="AS45" i="38" a="1"/>
  <c r="AS45" i="38" s="1"/>
  <c r="AY45" i="38" a="1"/>
  <c r="AY45" i="38" s="1"/>
  <c r="AZ45" i="38" s="1"/>
  <c r="AU45" i="38"/>
  <c r="AN41" i="38" a="1"/>
  <c r="AN41" i="38" s="1"/>
  <c r="AS41" i="38" a="1"/>
  <c r="AS41" i="38" s="1"/>
  <c r="AS42" i="38" a="1"/>
  <c r="AS42" i="38" s="1"/>
  <c r="AG45" i="38" a="1"/>
  <c r="AG45" i="38" s="1"/>
  <c r="AL45" i="38" s="1"/>
  <c r="AO45" i="38"/>
  <c r="AN45" i="38" a="1"/>
  <c r="AN45" i="38" s="1"/>
  <c r="I45" i="38" a="1"/>
  <c r="I45" i="38" s="1"/>
  <c r="AY41" i="38" a="1"/>
  <c r="AY41" i="38" s="1"/>
  <c r="AZ41" i="38" s="1"/>
  <c r="AU41" i="38"/>
  <c r="AG41" i="38" a="1"/>
  <c r="AG41" i="38" s="1"/>
  <c r="AL41" i="38" s="1"/>
  <c r="AO41" i="38"/>
  <c r="AY42" i="38" a="1"/>
  <c r="AY42" i="38" s="1"/>
  <c r="AZ42" i="38" s="1"/>
  <c r="AU42" i="38"/>
  <c r="AS43" i="38" a="1"/>
  <c r="AS43" i="38" s="1"/>
  <c r="AY43" i="38" a="1"/>
  <c r="AY43" i="38" s="1"/>
  <c r="AZ43" i="38" s="1"/>
  <c r="AU43" i="38"/>
  <c r="BA24" i="38" l="1"/>
  <c r="BB24" i="38" s="1"/>
  <c r="BK24" i="38"/>
  <c r="BD24" i="38"/>
  <c r="AV56" i="38" a="1"/>
  <c r="AV56" i="38" s="1"/>
  <c r="AX56" i="38" s="1"/>
  <c r="BA56" i="38" s="1"/>
  <c r="BF56" i="38" s="1"/>
  <c r="BK55" i="38"/>
  <c r="BD55" i="38"/>
  <c r="BA55" i="38"/>
  <c r="BA57" i="38"/>
  <c r="BF58" i="38"/>
  <c r="AP41" i="38"/>
  <c r="BD41" i="38" s="1"/>
  <c r="AP45" i="38"/>
  <c r="BM45" i="38"/>
  <c r="AV45" i="38" a="1"/>
  <c r="AV45" i="38" s="1"/>
  <c r="AX45" i="38" s="1"/>
  <c r="BM41" i="38"/>
  <c r="AV41" i="38" a="1"/>
  <c r="AV41" i="38" s="1"/>
  <c r="AX41" i="38" s="1"/>
  <c r="BA41" i="38" s="1"/>
  <c r="BM42" i="38"/>
  <c r="AV42" i="38" a="1"/>
  <c r="AV42" i="38" s="1"/>
  <c r="AX42" i="38" s="1"/>
  <c r="BM43" i="38"/>
  <c r="AV43" i="38" a="1"/>
  <c r="AV43" i="38" s="1"/>
  <c r="AX43" i="38" s="1"/>
  <c r="BA43" i="38" s="1"/>
  <c r="BL24" i="38" l="1" a="1"/>
  <c r="BL24" i="38" s="1"/>
  <c r="BG24" i="38" a="1"/>
  <c r="BG24" i="38" s="1"/>
  <c r="BH24" i="38" s="1"/>
  <c r="BE24" i="38" a="1"/>
  <c r="BE24" i="38" s="1"/>
  <c r="BJ24" i="38" a="1"/>
  <c r="BJ24" i="38" s="1"/>
  <c r="BN24" i="38" a="1"/>
  <c r="BN24" i="38" s="1"/>
  <c r="BO24" i="38" s="1"/>
  <c r="BC24" i="38" a="1"/>
  <c r="BC24" i="38" s="1"/>
  <c r="BF24" i="38"/>
  <c r="BF55" i="38"/>
  <c r="BB55" i="38"/>
  <c r="BF57" i="38"/>
  <c r="BK41" i="38"/>
  <c r="BA45" i="38"/>
  <c r="BB45" i="38" s="1"/>
  <c r="BK45" i="38"/>
  <c r="BD45" i="38"/>
  <c r="BF41" i="38"/>
  <c r="BB41" i="38"/>
  <c r="BA42" i="38"/>
  <c r="BF43" i="38"/>
  <c r="BI24" i="38" l="1"/>
  <c r="BP24" i="38" s="1" a="1"/>
  <c r="BP24" i="38" s="1"/>
  <c r="BR24" i="38" s="1"/>
  <c r="BE55" i="38" a="1"/>
  <c r="BE55" i="38" s="1"/>
  <c r="BJ55" i="38" a="1"/>
  <c r="BJ55" i="38" s="1"/>
  <c r="BG55" i="38" a="1"/>
  <c r="BG55" i="38" s="1"/>
  <c r="BH55" i="38" s="1"/>
  <c r="BI55" i="38" s="1"/>
  <c r="BN55" i="38" a="1"/>
  <c r="BN55" i="38" s="1"/>
  <c r="BO55" i="38" s="1"/>
  <c r="BC55" i="38" a="1"/>
  <c r="BC55" i="38" s="1"/>
  <c r="BL55" i="38" a="1"/>
  <c r="BL55" i="38" s="1"/>
  <c r="BF45" i="38"/>
  <c r="BL45" i="38" a="1"/>
  <c r="BL45" i="38" s="1"/>
  <c r="BJ45" i="38" a="1"/>
  <c r="BJ45" i="38" s="1"/>
  <c r="BE45" i="38" a="1"/>
  <c r="BE45" i="38" s="1"/>
  <c r="BN45" i="38" a="1"/>
  <c r="BN45" i="38" s="1"/>
  <c r="BO45" i="38" s="1"/>
  <c r="BC45" i="38" a="1"/>
  <c r="BC45" i="38" s="1"/>
  <c r="BG45" i="38" a="1"/>
  <c r="BG45" i="38" s="1"/>
  <c r="BH45" i="38" s="1"/>
  <c r="BJ41" i="38" a="1"/>
  <c r="BJ41" i="38" s="1"/>
  <c r="BE41" i="38" a="1"/>
  <c r="BE41" i="38" s="1"/>
  <c r="BG41" i="38" a="1"/>
  <c r="BG41" i="38" s="1"/>
  <c r="BH41" i="38" s="1"/>
  <c r="BN41" i="38" a="1"/>
  <c r="BN41" i="38" s="1"/>
  <c r="BO41" i="38" s="1"/>
  <c r="BC41" i="38" a="1"/>
  <c r="BC41" i="38" s="1"/>
  <c r="BL41" i="38" a="1"/>
  <c r="BL41" i="38" s="1"/>
  <c r="BF42" i="38"/>
  <c r="BS24" i="38" l="1"/>
  <c r="BT24" i="38" s="1"/>
  <c r="BP55" i="38" a="1"/>
  <c r="BP55" i="38" s="1"/>
  <c r="BR55" i="38" s="1"/>
  <c r="BS55" i="38" s="1"/>
  <c r="BT55" i="38" s="1"/>
  <c r="BI45" i="38"/>
  <c r="BP45" i="38" s="1" a="1"/>
  <c r="BP45" i="38" s="1"/>
  <c r="BR45" i="38" s="1"/>
  <c r="BI41" i="38"/>
  <c r="CC24" i="38" l="1" a="1"/>
  <c r="CC24" i="38" s="1"/>
  <c r="CB24" i="38" a="1"/>
  <c r="CB24" i="38" s="1"/>
  <c r="BU24" i="38"/>
  <c r="CB55" i="38" a="1"/>
  <c r="CB55" i="38" s="1"/>
  <c r="BU55" i="38"/>
  <c r="CC55" i="38" a="1"/>
  <c r="CC55" i="38" s="1"/>
  <c r="BS45" i="38"/>
  <c r="BT45" i="38" s="1"/>
  <c r="BP41" i="38" a="1"/>
  <c r="BP41" i="38" s="1"/>
  <c r="BR41" i="38" s="1"/>
  <c r="BS41" i="38" s="1"/>
  <c r="BT41" i="38" s="1"/>
  <c r="DT24" i="38" l="1" a="1"/>
  <c r="DT24" i="38" s="1"/>
  <c r="CN24" i="38" a="1"/>
  <c r="CN24" i="38" s="1"/>
  <c r="DU24" i="38"/>
  <c r="DS24" i="38" a="1"/>
  <c r="DS24" i="38" s="1"/>
  <c r="DQ24" i="38"/>
  <c r="DZ24" i="38" a="1"/>
  <c r="DZ24" i="38" s="1"/>
  <c r="EA24" i="38"/>
  <c r="DY24" i="38" a="1"/>
  <c r="DY24" i="38" s="1"/>
  <c r="CP24" i="38" a="1"/>
  <c r="CP24" i="38" s="1"/>
  <c r="DW24" i="38"/>
  <c r="DZ55" i="38" a="1"/>
  <c r="DZ55" i="38" s="1"/>
  <c r="DY55" i="38" a="1"/>
  <c r="DY55" i="38" s="1"/>
  <c r="CP55" i="38" a="1"/>
  <c r="CP55" i="38" s="1"/>
  <c r="DW55" i="38"/>
  <c r="EA55" i="38"/>
  <c r="DT55" i="38" a="1"/>
  <c r="DT55" i="38" s="1"/>
  <c r="DU55" i="38"/>
  <c r="DS55" i="38" a="1"/>
  <c r="DS55" i="38" s="1"/>
  <c r="DQ55" i="38"/>
  <c r="CN55" i="38" a="1"/>
  <c r="CN55" i="38" s="1"/>
  <c r="CC45" i="38" a="1"/>
  <c r="CC45" i="38" s="1"/>
  <c r="CB45" i="38" a="1"/>
  <c r="CB45" i="38" s="1"/>
  <c r="BU45" i="38"/>
  <c r="CB41" i="38" a="1"/>
  <c r="CB41" i="38" s="1"/>
  <c r="BU41" i="38"/>
  <c r="CC41" i="38" a="1"/>
  <c r="CC41" i="38" s="1"/>
  <c r="DZ45" i="38" l="1" a="1"/>
  <c r="DZ45" i="38" s="1"/>
  <c r="DY45" i="38" a="1"/>
  <c r="DY45" i="38" s="1"/>
  <c r="EA45" i="38"/>
  <c r="CP45" i="38" a="1"/>
  <c r="CP45" i="38" s="1"/>
  <c r="DW45" i="38"/>
  <c r="DS45" i="38" a="1"/>
  <c r="DS45" i="38" s="1"/>
  <c r="DT45" i="38" a="1"/>
  <c r="DT45" i="38" s="1"/>
  <c r="DQ45" i="38"/>
  <c r="CN45" i="38" a="1"/>
  <c r="CN45" i="38" s="1"/>
  <c r="DU45" i="38"/>
  <c r="DT41" i="38" a="1"/>
  <c r="DT41" i="38" s="1"/>
  <c r="DS41" i="38" a="1"/>
  <c r="DS41" i="38" s="1"/>
  <c r="DU41" i="38"/>
  <c r="DQ41" i="38"/>
  <c r="CN41" i="38" a="1"/>
  <c r="CN41" i="38" s="1"/>
  <c r="DZ41" i="38" a="1"/>
  <c r="DZ41" i="38" s="1"/>
  <c r="DY41" i="38" a="1"/>
  <c r="DY41" i="38" s="1"/>
  <c r="EA41" i="38"/>
  <c r="CP41" i="38" a="1"/>
  <c r="CP41" i="38" s="1"/>
  <c r="DW41" i="38"/>
  <c r="U11" i="44" l="1"/>
  <c r="V11" i="44"/>
  <c r="W11" i="44"/>
  <c r="AI11" i="44"/>
  <c r="AK11" i="44"/>
  <c r="U10" i="44"/>
  <c r="V10" i="44"/>
  <c r="W10" i="44"/>
  <c r="AI10" i="44"/>
  <c r="AK10" i="44"/>
  <c r="U9" i="44"/>
  <c r="V9" i="44"/>
  <c r="W9" i="44"/>
  <c r="AI9" i="44"/>
  <c r="AK9" i="44"/>
  <c r="U8" i="44"/>
  <c r="V8" i="44"/>
  <c r="W8" i="44"/>
  <c r="AI8" i="44"/>
  <c r="AK8" i="44"/>
  <c r="U7" i="44"/>
  <c r="V7" i="44"/>
  <c r="W7" i="44"/>
  <c r="AI7" i="44"/>
  <c r="AK7" i="44"/>
  <c r="CJ36" i="38"/>
  <c r="AT36" i="38" s="1" a="1"/>
  <c r="AT36" i="38" s="1"/>
  <c r="CI36" i="38"/>
  <c r="AM36" i="38" s="1" a="1"/>
  <c r="AM36" i="38" s="1"/>
  <c r="AK36" i="38"/>
  <c r="AF36" i="38"/>
  <c r="AA36" i="38"/>
  <c r="U36" i="38" a="1"/>
  <c r="U36" i="38" s="1"/>
  <c r="V36" i="38" s="1"/>
  <c r="Q36" i="38" a="1"/>
  <c r="Q36" i="38" s="1"/>
  <c r="P36" i="38" a="1"/>
  <c r="P36" i="38" s="1"/>
  <c r="R36" i="38" s="1"/>
  <c r="J36" i="38"/>
  <c r="I36" i="38" l="1" a="1"/>
  <c r="I36" i="38" s="1"/>
  <c r="AY36" i="38" a="1"/>
  <c r="AY36" i="38" s="1"/>
  <c r="AZ36" i="38" s="1"/>
  <c r="AU36" i="38"/>
  <c r="AG36" i="38" a="1"/>
  <c r="AG36" i="38" s="1"/>
  <c r="AL36" i="38" s="1"/>
  <c r="AO36" i="38"/>
  <c r="AN36" i="38" a="1"/>
  <c r="AN36" i="38" s="1"/>
  <c r="AS36" i="38" a="1"/>
  <c r="AS36" i="38" s="1"/>
  <c r="AP36" i="38" l="1"/>
  <c r="AV36" i="38" a="1"/>
  <c r="AV36" i="38" s="1"/>
  <c r="AX36" i="38" s="1"/>
  <c r="BA36" i="38" s="1"/>
  <c r="BM36" i="38"/>
  <c r="BF36" i="38" l="1"/>
  <c r="BK36" i="38"/>
  <c r="BD36" i="38"/>
  <c r="BB36" i="38"/>
  <c r="BL36" i="38" l="1" a="1"/>
  <c r="BL36" i="38" s="1"/>
  <c r="BE36" i="38" a="1"/>
  <c r="BE36" i="38" s="1"/>
  <c r="BJ36" i="38" a="1"/>
  <c r="BJ36" i="38" s="1"/>
  <c r="BN36" i="38" a="1"/>
  <c r="BN36" i="38" s="1"/>
  <c r="BO36" i="38" s="1"/>
  <c r="BC36" i="38" a="1"/>
  <c r="BC36" i="38" s="1"/>
  <c r="BG36" i="38" a="1"/>
  <c r="BG36" i="38" s="1"/>
  <c r="BH36" i="38" s="1"/>
  <c r="BI36" i="38" l="1"/>
  <c r="BP36" i="38" l="1" a="1"/>
  <c r="BP36" i="38" s="1"/>
  <c r="BR36" i="38" s="1"/>
  <c r="BS36" i="38" l="1"/>
  <c r="BT36" i="38" s="1"/>
  <c r="CC36" i="38" l="1" a="1"/>
  <c r="CC36" i="38" s="1"/>
  <c r="CB36" i="38" a="1"/>
  <c r="CB36" i="38" s="1"/>
  <c r="BU36" i="38"/>
  <c r="DZ36" i="38" l="1" a="1"/>
  <c r="DZ36" i="38" s="1"/>
  <c r="DY36" i="38" a="1"/>
  <c r="DY36" i="38" s="1"/>
  <c r="CP36" i="38" a="1"/>
  <c r="CP36" i="38" s="1"/>
  <c r="DW36" i="38"/>
  <c r="EA36" i="38"/>
  <c r="DT36" i="38" a="1"/>
  <c r="DT36" i="38" s="1"/>
  <c r="DS36" i="38" a="1"/>
  <c r="DS36" i="38" s="1"/>
  <c r="DQ36" i="38"/>
  <c r="CN36" i="38" a="1"/>
  <c r="CN36" i="38" s="1"/>
  <c r="DU36" i="38"/>
  <c r="CJ29" i="38" l="1"/>
  <c r="AT29" i="38" s="1" a="1"/>
  <c r="AT29" i="38" s="1"/>
  <c r="CI29" i="38"/>
  <c r="I29" i="38" s="1" a="1"/>
  <c r="I29" i="38" s="1"/>
  <c r="AK29" i="38"/>
  <c r="AF29" i="38"/>
  <c r="AA29" i="38"/>
  <c r="U29" i="38" a="1"/>
  <c r="U29" i="38" s="1"/>
  <c r="V29" i="38" s="1"/>
  <c r="Q29" i="38" a="1"/>
  <c r="Q29" i="38" s="1"/>
  <c r="P29" i="38" a="1"/>
  <c r="P29" i="38" s="1"/>
  <c r="R29" i="38" s="1"/>
  <c r="J29" i="38"/>
  <c r="CJ30" i="38"/>
  <c r="AT30" i="38" s="1" a="1"/>
  <c r="AT30" i="38" s="1"/>
  <c r="AY30" i="38" s="1" a="1"/>
  <c r="AY30" i="38" s="1"/>
  <c r="AZ30" i="38" s="1"/>
  <c r="CI30" i="38"/>
  <c r="AK30" i="38"/>
  <c r="AF30" i="38"/>
  <c r="AA30" i="38"/>
  <c r="CJ31" i="38"/>
  <c r="AT31" i="38" s="1" a="1"/>
  <c r="AT31" i="38" s="1"/>
  <c r="CI31" i="38"/>
  <c r="AK31" i="38"/>
  <c r="AF31" i="38"/>
  <c r="AA31" i="38"/>
  <c r="CJ32" i="38"/>
  <c r="AT32" i="38" s="1" a="1"/>
  <c r="AT32" i="38" s="1"/>
  <c r="CI32" i="38"/>
  <c r="I32" i="38" s="1" a="1"/>
  <c r="I32" i="38" s="1"/>
  <c r="AK32" i="38"/>
  <c r="AF32" i="38"/>
  <c r="AA32" i="38"/>
  <c r="J32" i="38"/>
  <c r="CJ33" i="38"/>
  <c r="AT33" i="38" s="1" a="1"/>
  <c r="AT33" i="38" s="1"/>
  <c r="CI33" i="38"/>
  <c r="AK33" i="38"/>
  <c r="AF33" i="38"/>
  <c r="AA33" i="38"/>
  <c r="CJ34" i="38"/>
  <c r="AT34" i="38" s="1" a="1"/>
  <c r="AT34" i="38" s="1"/>
  <c r="CI34" i="38"/>
  <c r="AK34" i="38"/>
  <c r="AF34" i="38"/>
  <c r="AA34" i="38"/>
  <c r="AS32" i="38" l="1" a="1"/>
  <c r="AS32" i="38" s="1"/>
  <c r="AS29" i="38" a="1"/>
  <c r="AS29" i="38" s="1"/>
  <c r="AM29" i="38" a="1"/>
  <c r="AM29" i="38" s="1"/>
  <c r="AS30" i="38" a="1"/>
  <c r="AS30" i="38" s="1"/>
  <c r="AY29" i="38" a="1"/>
  <c r="AY29" i="38" s="1"/>
  <c r="AZ29" i="38" s="1"/>
  <c r="AU29" i="38"/>
  <c r="AN29" i="38" a="1"/>
  <c r="AN29" i="38" s="1"/>
  <c r="AG29" i="38" a="1"/>
  <c r="AG29" i="38" s="1"/>
  <c r="AL29" i="38" s="1"/>
  <c r="AO29" i="38"/>
  <c r="AU30" i="38"/>
  <c r="AS31" i="38" a="1"/>
  <c r="AS31" i="38" s="1"/>
  <c r="AM32" i="38" a="1"/>
  <c r="AM32" i="38" s="1"/>
  <c r="AY31" i="38" a="1"/>
  <c r="AY31" i="38" s="1"/>
  <c r="AZ31" i="38" s="1"/>
  <c r="AU31" i="38"/>
  <c r="AS33" i="38" a="1"/>
  <c r="AS33" i="38" s="1"/>
  <c r="AU32" i="38"/>
  <c r="AY32" i="38" a="1"/>
  <c r="AY32" i="38" s="1"/>
  <c r="AZ32" i="38" s="1"/>
  <c r="AY33" i="38" a="1"/>
  <c r="AY33" i="38" s="1"/>
  <c r="AZ33" i="38" s="1"/>
  <c r="AU33" i="38"/>
  <c r="AU34" i="38"/>
  <c r="AY34" i="38" a="1"/>
  <c r="AY34" i="38" s="1"/>
  <c r="AZ34" i="38" s="1"/>
  <c r="AS34" i="38" a="1"/>
  <c r="AS34" i="38" s="1"/>
  <c r="AP29" i="38" l="1"/>
  <c r="AV29" i="38" a="1"/>
  <c r="AV29" i="38" s="1"/>
  <c r="AX29" i="38" s="1"/>
  <c r="BA29" i="38" s="1"/>
  <c r="BM29" i="38"/>
  <c r="BM30" i="38"/>
  <c r="AV30" i="38" a="1"/>
  <c r="AV30" i="38" s="1"/>
  <c r="AX30" i="38" s="1"/>
  <c r="BA30" i="38" s="1"/>
  <c r="BM31" i="38"/>
  <c r="AV31" i="38" a="1"/>
  <c r="AV31" i="38" s="1"/>
  <c r="AX31" i="38" s="1"/>
  <c r="BM32" i="38"/>
  <c r="AV32" i="38" a="1"/>
  <c r="AV32" i="38" s="1"/>
  <c r="AX32" i="38" s="1"/>
  <c r="AV33" i="38" a="1"/>
  <c r="AV33" i="38" s="1"/>
  <c r="AX33" i="38" s="1"/>
  <c r="BA33" i="38" s="1"/>
  <c r="BM33" i="38"/>
  <c r="AV34" i="38" a="1"/>
  <c r="AV34" i="38" s="1"/>
  <c r="AX34" i="38" s="1"/>
  <c r="BA34" i="38" s="1"/>
  <c r="BM34" i="38"/>
  <c r="BF29" i="38" l="1"/>
  <c r="BK29" i="38"/>
  <c r="BD29" i="38"/>
  <c r="BB29" i="38"/>
  <c r="BF30" i="38"/>
  <c r="BA31" i="38"/>
  <c r="BA32" i="38"/>
  <c r="BF33" i="38"/>
  <c r="BF34" i="38"/>
  <c r="BE29" i="38" l="1" a="1"/>
  <c r="BE29" i="38" s="1"/>
  <c r="BJ29" i="38" a="1"/>
  <c r="BJ29" i="38" s="1"/>
  <c r="BN29" i="38" a="1"/>
  <c r="BN29" i="38" s="1"/>
  <c r="BO29" i="38" s="1"/>
  <c r="BG29" i="38" a="1"/>
  <c r="BG29" i="38" s="1"/>
  <c r="BH29" i="38" s="1"/>
  <c r="BI29" i="38" s="1"/>
  <c r="BL29" i="38" a="1"/>
  <c r="BL29" i="38" s="1"/>
  <c r="BC29" i="38" a="1"/>
  <c r="BC29" i="38" s="1"/>
  <c r="BF31" i="38"/>
  <c r="BF32" i="38"/>
  <c r="BP29" i="38" l="1" a="1"/>
  <c r="BP29" i="38" s="1"/>
  <c r="BR29" i="38" s="1"/>
  <c r="BS29" i="38" l="1"/>
  <c r="BT29" i="38" s="1"/>
  <c r="CB29" i="38" l="1" a="1"/>
  <c r="CB29" i="38" s="1"/>
  <c r="BU29" i="38"/>
  <c r="CC29" i="38" a="1"/>
  <c r="CC29" i="38" s="1"/>
  <c r="DZ29" i="38" l="1" a="1"/>
  <c r="DZ29" i="38" s="1"/>
  <c r="DY29" i="38" a="1"/>
  <c r="DY29" i="38" s="1"/>
  <c r="DW29" i="38"/>
  <c r="CP29" i="38" a="1"/>
  <c r="CP29" i="38" s="1"/>
  <c r="EA29" i="38"/>
  <c r="DT29" i="38" a="1"/>
  <c r="DT29" i="38" s="1"/>
  <c r="DS29" i="38" a="1"/>
  <c r="DS29" i="38" s="1"/>
  <c r="DU29" i="38"/>
  <c r="DQ29" i="38"/>
  <c r="CN29" i="38" a="1"/>
  <c r="CN29" i="38" s="1"/>
  <c r="A12" i="197" l="1"/>
  <c r="A13" i="197"/>
  <c r="A14" i="197"/>
  <c r="A15" i="197"/>
  <c r="G12" i="197"/>
  <c r="G13" i="197"/>
  <c r="G14" i="197"/>
  <c r="G15" i="197"/>
  <c r="A34" i="195" l="1"/>
  <c r="A35" i="195"/>
  <c r="A36" i="195"/>
  <c r="A37" i="195"/>
  <c r="A38" i="195"/>
  <c r="A39" i="195"/>
  <c r="G34" i="195"/>
  <c r="G35" i="195"/>
  <c r="G36" i="195"/>
  <c r="G37" i="195"/>
  <c r="G38" i="195"/>
  <c r="G39" i="195"/>
  <c r="A23" i="195" l="1"/>
  <c r="A24" i="195"/>
  <c r="A25" i="195"/>
  <c r="A26" i="195"/>
  <c r="A27" i="195"/>
  <c r="G23" i="195"/>
  <c r="G24" i="195"/>
  <c r="G25" i="195"/>
  <c r="G26" i="195"/>
  <c r="G27" i="195"/>
  <c r="A20" i="195" l="1"/>
  <c r="A21" i="195"/>
  <c r="A22" i="195"/>
  <c r="A28" i="195"/>
  <c r="G21" i="195"/>
  <c r="G22" i="195"/>
  <c r="G28" i="195"/>
  <c r="A13" i="195"/>
  <c r="A14" i="195"/>
  <c r="A15" i="195"/>
  <c r="A16" i="195"/>
  <c r="A17" i="195"/>
  <c r="G13" i="195"/>
  <c r="G14" i="195"/>
  <c r="G15" i="195"/>
  <c r="G16" i="195"/>
  <c r="G17" i="195"/>
  <c r="A18" i="195"/>
  <c r="A19" i="195"/>
  <c r="A29" i="195"/>
  <c r="G18" i="195"/>
  <c r="G19" i="195"/>
  <c r="G29" i="195"/>
  <c r="CE12" i="38" l="1" a="1"/>
  <c r="CE12" i="38" s="1"/>
  <c r="J13" i="38"/>
  <c r="P13" i="38" a="1"/>
  <c r="P13" i="38" s="1"/>
  <c r="R13" i="38" s="1"/>
  <c r="Q13" i="38" a="1"/>
  <c r="Q13" i="38" s="1"/>
  <c r="U13" i="38" a="1"/>
  <c r="U13" i="38" s="1"/>
  <c r="V13" i="38" s="1"/>
  <c r="AA13" i="38"/>
  <c r="AF13" i="38"/>
  <c r="AK13" i="38"/>
  <c r="CI13" i="38"/>
  <c r="I13" i="38" s="1" a="1"/>
  <c r="I13" i="38" s="1"/>
  <c r="J14" i="38"/>
  <c r="P14" i="38" a="1"/>
  <c r="P14" i="38" s="1"/>
  <c r="R14" i="38" s="1"/>
  <c r="Q14" i="38" a="1"/>
  <c r="Q14" i="38" s="1"/>
  <c r="U14" i="38" a="1"/>
  <c r="U14" i="38" s="1"/>
  <c r="V14" i="38" s="1"/>
  <c r="AA14" i="38"/>
  <c r="AF14" i="38"/>
  <c r="AK14" i="38"/>
  <c r="CI14" i="38"/>
  <c r="CJ14" i="38"/>
  <c r="AS14" i="38" s="1" a="1"/>
  <c r="AS14" i="38" s="1"/>
  <c r="J15" i="38"/>
  <c r="P15" i="38" a="1"/>
  <c r="P15" i="38" s="1"/>
  <c r="R15" i="38" s="1"/>
  <c r="Q15" i="38" a="1"/>
  <c r="Q15" i="38" s="1"/>
  <c r="U15" i="38" a="1"/>
  <c r="U15" i="38" s="1"/>
  <c r="V15" i="38" s="1"/>
  <c r="AA15" i="38"/>
  <c r="AF15" i="38"/>
  <c r="AK15" i="38"/>
  <c r="CI15" i="38"/>
  <c r="CJ15" i="38"/>
  <c r="AS15" i="38" s="1" a="1"/>
  <c r="AS15" i="38" s="1"/>
  <c r="J16" i="38"/>
  <c r="P16" i="38" a="1"/>
  <c r="P16" i="38" s="1"/>
  <c r="R16" i="38" s="1"/>
  <c r="Q16" i="38" a="1"/>
  <c r="Q16" i="38" s="1"/>
  <c r="U16" i="38" a="1"/>
  <c r="U16" i="38" s="1"/>
  <c r="V16" i="38" s="1"/>
  <c r="AA16" i="38"/>
  <c r="AF16" i="38"/>
  <c r="AK16" i="38"/>
  <c r="CI16" i="38"/>
  <c r="CJ16" i="38"/>
  <c r="AS16" i="38" s="1" a="1"/>
  <c r="AS16" i="38" s="1"/>
  <c r="CE17" i="38" a="1"/>
  <c r="CE17" i="38" s="1"/>
  <c r="J18" i="38"/>
  <c r="P18" i="38" a="1"/>
  <c r="P18" i="38" s="1"/>
  <c r="R18" i="38" s="1"/>
  <c r="Q18" i="38" a="1"/>
  <c r="Q18" i="38" s="1"/>
  <c r="U18" i="38" a="1"/>
  <c r="U18" i="38" s="1"/>
  <c r="V18" i="38" s="1"/>
  <c r="AA18" i="38"/>
  <c r="AF18" i="38"/>
  <c r="AK18" i="38"/>
  <c r="CI18" i="38"/>
  <c r="I18" i="38" s="1" a="1"/>
  <c r="I18" i="38" s="1"/>
  <c r="J19" i="38"/>
  <c r="P19" i="38" a="1"/>
  <c r="P19" i="38" s="1"/>
  <c r="R19" i="38" s="1"/>
  <c r="Q19" i="38" a="1"/>
  <c r="Q19" i="38" s="1"/>
  <c r="U19" i="38" a="1"/>
  <c r="U19" i="38" s="1"/>
  <c r="V19" i="38" s="1"/>
  <c r="AA19" i="38"/>
  <c r="AF19" i="38"/>
  <c r="AK19" i="38"/>
  <c r="CI19" i="38"/>
  <c r="I19" i="38" s="1" a="1"/>
  <c r="I19" i="38" s="1"/>
  <c r="J20" i="38"/>
  <c r="P20" i="38" a="1"/>
  <c r="P20" i="38" s="1"/>
  <c r="R20" i="38" s="1"/>
  <c r="Q20" i="38" a="1"/>
  <c r="Q20" i="38" s="1"/>
  <c r="U20" i="38" a="1"/>
  <c r="U20" i="38" s="1"/>
  <c r="V20" i="38" s="1"/>
  <c r="AA20" i="38"/>
  <c r="AF20" i="38"/>
  <c r="AK20" i="38"/>
  <c r="CI20" i="38"/>
  <c r="J21" i="38"/>
  <c r="P21" i="38" a="1"/>
  <c r="P21" i="38" s="1"/>
  <c r="R21" i="38" s="1"/>
  <c r="Q21" i="38" a="1"/>
  <c r="Q21" i="38" s="1"/>
  <c r="U21" i="38" a="1"/>
  <c r="U21" i="38" s="1"/>
  <c r="V21" i="38" s="1"/>
  <c r="AA21" i="38"/>
  <c r="AF21" i="38"/>
  <c r="AK21" i="38"/>
  <c r="CI21" i="38"/>
  <c r="I21" i="38" s="1" a="1"/>
  <c r="I21" i="38" s="1"/>
  <c r="J22" i="38"/>
  <c r="P22" i="38" a="1"/>
  <c r="P22" i="38" s="1"/>
  <c r="R22" i="38" s="1"/>
  <c r="Q22" i="38" a="1"/>
  <c r="Q22" i="38" s="1"/>
  <c r="U22" i="38" a="1"/>
  <c r="U22" i="38" s="1"/>
  <c r="V22" i="38" s="1"/>
  <c r="AA22" i="38"/>
  <c r="AF22" i="38"/>
  <c r="AK22" i="38"/>
  <c r="CI22" i="38"/>
  <c r="I22" i="38" s="1" a="1"/>
  <c r="I22" i="38" s="1"/>
  <c r="CJ22" i="38"/>
  <c r="AS22" i="38" s="1" a="1"/>
  <c r="AS22" i="38" s="1"/>
  <c r="P23" i="38" a="1"/>
  <c r="P23" i="38" s="1"/>
  <c r="R23" i="38" s="1"/>
  <c r="Q23" i="38" a="1"/>
  <c r="Q23" i="38" s="1"/>
  <c r="AA23" i="38"/>
  <c r="AF23" i="38"/>
  <c r="AK23" i="38"/>
  <c r="CI23" i="38"/>
  <c r="CJ23" i="38"/>
  <c r="AS23" i="38" s="1" a="1"/>
  <c r="AS23" i="38" s="1"/>
  <c r="J25" i="38"/>
  <c r="P25" i="38" a="1"/>
  <c r="P25" i="38" s="1"/>
  <c r="R25" i="38" s="1"/>
  <c r="Q25" i="38" a="1"/>
  <c r="Q25" i="38" s="1"/>
  <c r="U25" i="38" a="1"/>
  <c r="U25" i="38" s="1"/>
  <c r="V25" i="38" s="1"/>
  <c r="AA25" i="38"/>
  <c r="AF25" i="38"/>
  <c r="AK25" i="38"/>
  <c r="CI25" i="38"/>
  <c r="AM25" i="38" s="1" a="1"/>
  <c r="AM25" i="38" s="1"/>
  <c r="CJ25" i="38"/>
  <c r="AS25" i="38" s="1" a="1"/>
  <c r="AS25" i="38" s="1"/>
  <c r="CE26" i="38" a="1"/>
  <c r="CE26" i="38" s="1"/>
  <c r="J27" i="38"/>
  <c r="P27" i="38" a="1"/>
  <c r="P27" i="38" s="1"/>
  <c r="R27" i="38" s="1"/>
  <c r="Q27" i="38" a="1"/>
  <c r="Q27" i="38" s="1"/>
  <c r="U27" i="38" a="1"/>
  <c r="U27" i="38" s="1"/>
  <c r="V27" i="38" s="1"/>
  <c r="AA27" i="38"/>
  <c r="AF27" i="38"/>
  <c r="AK27" i="38"/>
  <c r="CI27" i="38"/>
  <c r="I27" i="38" s="1" a="1"/>
  <c r="I27" i="38" s="1"/>
  <c r="CJ27" i="38"/>
  <c r="AS27" i="38" s="1" a="1"/>
  <c r="AS27" i="38" s="1"/>
  <c r="J28" i="38"/>
  <c r="P28" i="38" a="1"/>
  <c r="P28" i="38" s="1"/>
  <c r="R28" i="38" s="1"/>
  <c r="Q28" i="38" a="1"/>
  <c r="Q28" i="38" s="1"/>
  <c r="U28" i="38" a="1"/>
  <c r="U28" i="38" s="1"/>
  <c r="V28" i="38" s="1"/>
  <c r="AA28" i="38"/>
  <c r="AF28" i="38"/>
  <c r="AK28" i="38"/>
  <c r="CI28" i="38"/>
  <c r="AM28" i="38" s="1" a="1"/>
  <c r="AM28" i="38" s="1"/>
  <c r="CJ28" i="38"/>
  <c r="AA35" i="38"/>
  <c r="AF35" i="38"/>
  <c r="AK35" i="38"/>
  <c r="CI35" i="38"/>
  <c r="CJ35" i="38"/>
  <c r="AS35" i="38" s="1" a="1"/>
  <c r="AS35" i="38" s="1"/>
  <c r="J37" i="38"/>
  <c r="P37" i="38" a="1"/>
  <c r="P37" i="38" s="1"/>
  <c r="R37" i="38" s="1"/>
  <c r="Q37" i="38" a="1"/>
  <c r="Q37" i="38" s="1"/>
  <c r="U37" i="38" a="1"/>
  <c r="U37" i="38" s="1"/>
  <c r="V37" i="38" s="1"/>
  <c r="AA37" i="38"/>
  <c r="AF37" i="38"/>
  <c r="AK37" i="38"/>
  <c r="CI37" i="38"/>
  <c r="I37" i="38" s="1" a="1"/>
  <c r="I37" i="38" s="1"/>
  <c r="CJ37" i="38"/>
  <c r="AS37" i="38" s="1" a="1"/>
  <c r="AS37" i="38" s="1"/>
  <c r="CE38" i="38" a="1"/>
  <c r="CE38" i="38" s="1"/>
  <c r="J39" i="38"/>
  <c r="P39" i="38" a="1"/>
  <c r="P39" i="38" s="1"/>
  <c r="R39" i="38" s="1"/>
  <c r="Q39" i="38" a="1"/>
  <c r="Q39" i="38" s="1"/>
  <c r="U39" i="38" a="1"/>
  <c r="U39" i="38" s="1"/>
  <c r="V39" i="38" s="1"/>
  <c r="AA39" i="38"/>
  <c r="AF39" i="38"/>
  <c r="AK39" i="38"/>
  <c r="CI39" i="38"/>
  <c r="I39" i="38" s="1" a="1"/>
  <c r="I39" i="38" s="1"/>
  <c r="CJ39" i="38"/>
  <c r="AS39" i="38" s="1" a="1"/>
  <c r="AS39" i="38" s="1"/>
  <c r="J40" i="38"/>
  <c r="P40" i="38" a="1"/>
  <c r="P40" i="38" s="1"/>
  <c r="R40" i="38" s="1"/>
  <c r="Q40" i="38" a="1"/>
  <c r="Q40" i="38" s="1"/>
  <c r="U40" i="38" a="1"/>
  <c r="U40" i="38" s="1"/>
  <c r="V40" i="38" s="1"/>
  <c r="AA40" i="38"/>
  <c r="AF40" i="38"/>
  <c r="AK40" i="38"/>
  <c r="CI40" i="38"/>
  <c r="I40" i="38" s="1" a="1"/>
  <c r="I40" i="38" s="1"/>
  <c r="CJ40" i="38"/>
  <c r="AT40" i="38" s="1" a="1"/>
  <c r="AT40" i="38" s="1"/>
  <c r="AA44" i="38"/>
  <c r="AF44" i="38"/>
  <c r="AK44" i="38"/>
  <c r="CI44" i="38"/>
  <c r="CJ44" i="38"/>
  <c r="AS44" i="38" s="1" a="1"/>
  <c r="AS44" i="38" s="1"/>
  <c r="J46" i="38"/>
  <c r="P46" i="38" a="1"/>
  <c r="P46" i="38" s="1"/>
  <c r="R46" i="38" s="1"/>
  <c r="Q46" i="38" a="1"/>
  <c r="Q46" i="38" s="1"/>
  <c r="U46" i="38" a="1"/>
  <c r="U46" i="38" s="1"/>
  <c r="V46" i="38" s="1"/>
  <c r="AA46" i="38"/>
  <c r="AF46" i="38"/>
  <c r="AK46" i="38"/>
  <c r="CI46" i="38"/>
  <c r="CJ46" i="38"/>
  <c r="AT46" i="38" s="1" a="1"/>
  <c r="AT46" i="38" s="1"/>
  <c r="AY46" i="38" s="1" a="1"/>
  <c r="AY46" i="38" s="1"/>
  <c r="AZ46" i="38" s="1"/>
  <c r="CE47" i="38" a="1"/>
  <c r="CE47" i="38" s="1"/>
  <c r="J48" i="38"/>
  <c r="P48" i="38" a="1"/>
  <c r="P48" i="38" s="1"/>
  <c r="R48" i="38" s="1"/>
  <c r="Q48" i="38" a="1"/>
  <c r="Q48" i="38" s="1"/>
  <c r="U48" i="38" a="1"/>
  <c r="U48" i="38" s="1"/>
  <c r="V48" i="38" s="1"/>
  <c r="AA48" i="38"/>
  <c r="AF48" i="38"/>
  <c r="AK48" i="38"/>
  <c r="CI48" i="38"/>
  <c r="I48" i="38" s="1" a="1"/>
  <c r="I48" i="38" s="1"/>
  <c r="CJ48" i="38"/>
  <c r="AS48" i="38" s="1" a="1"/>
  <c r="AS48" i="38" s="1"/>
  <c r="J49" i="38"/>
  <c r="P49" i="38" a="1"/>
  <c r="P49" i="38" s="1"/>
  <c r="R49" i="38" s="1"/>
  <c r="Q49" i="38" a="1"/>
  <c r="Q49" i="38" s="1"/>
  <c r="U49" i="38" a="1"/>
  <c r="U49" i="38" s="1"/>
  <c r="V49" i="38" s="1"/>
  <c r="AA49" i="38"/>
  <c r="AF49" i="38"/>
  <c r="AK49" i="38"/>
  <c r="CI49" i="38"/>
  <c r="I49" i="38" s="1" a="1"/>
  <c r="I49" i="38" s="1"/>
  <c r="CJ49" i="38"/>
  <c r="AT49" i="38" s="1" a="1"/>
  <c r="AT49" i="38" s="1"/>
  <c r="J50" i="38"/>
  <c r="P50" i="38" a="1"/>
  <c r="P50" i="38" s="1"/>
  <c r="R50" i="38" s="1"/>
  <c r="Q50" i="38" a="1"/>
  <c r="Q50" i="38" s="1"/>
  <c r="U50" i="38" a="1"/>
  <c r="U50" i="38" s="1"/>
  <c r="V50" i="38" s="1"/>
  <c r="AA50" i="38"/>
  <c r="AF50" i="38"/>
  <c r="AK50" i="38"/>
  <c r="CI50" i="38"/>
  <c r="I50" i="38" s="1" a="1"/>
  <c r="I50" i="38" s="1"/>
  <c r="CJ50" i="38"/>
  <c r="AS50" i="38" s="1" a="1"/>
  <c r="AS50" i="38" s="1"/>
  <c r="J51" i="38"/>
  <c r="P51" i="38" a="1"/>
  <c r="P51" i="38" s="1"/>
  <c r="R51" i="38" s="1"/>
  <c r="Q51" i="38" a="1"/>
  <c r="Q51" i="38" s="1"/>
  <c r="U51" i="38" a="1"/>
  <c r="U51" i="38" s="1"/>
  <c r="V51" i="38" s="1"/>
  <c r="AA51" i="38"/>
  <c r="AF51" i="38"/>
  <c r="AK51" i="38"/>
  <c r="CI51" i="38"/>
  <c r="CJ51" i="38"/>
  <c r="AS51" i="38" s="1" a="1"/>
  <c r="AS51" i="38" s="1"/>
  <c r="CE52" i="38" a="1"/>
  <c r="CE52" i="38" s="1"/>
  <c r="J53" i="38"/>
  <c r="P53" i="38" a="1"/>
  <c r="P53" i="38" s="1"/>
  <c r="R53" i="38" s="1"/>
  <c r="Q53" i="38" a="1"/>
  <c r="Q53" i="38" s="1"/>
  <c r="U53" i="38" a="1"/>
  <c r="U53" i="38" s="1"/>
  <c r="V53" i="38" s="1"/>
  <c r="AA53" i="38"/>
  <c r="AF53" i="38"/>
  <c r="AK53" i="38"/>
  <c r="CI53" i="38"/>
  <c r="AM53" i="38" s="1" a="1"/>
  <c r="AM53" i="38" s="1"/>
  <c r="CJ53" i="38"/>
  <c r="J54" i="38"/>
  <c r="P54" i="38" a="1"/>
  <c r="P54" i="38" s="1"/>
  <c r="R54" i="38" s="1"/>
  <c r="Q54" i="38" a="1"/>
  <c r="Q54" i="38" s="1"/>
  <c r="U54" i="38" a="1"/>
  <c r="U54" i="38" s="1"/>
  <c r="V54" i="38" s="1"/>
  <c r="AA54" i="38"/>
  <c r="AF54" i="38"/>
  <c r="AK54" i="38"/>
  <c r="CI54" i="38"/>
  <c r="I54" i="38" s="1" a="1"/>
  <c r="I54" i="38" s="1"/>
  <c r="CJ54" i="38"/>
  <c r="AT54" i="38" s="1" a="1"/>
  <c r="AT54" i="38" s="1"/>
  <c r="J59" i="38"/>
  <c r="P59" i="38" a="1"/>
  <c r="P59" i="38" s="1"/>
  <c r="R59" i="38" s="1"/>
  <c r="Q59" i="38" a="1"/>
  <c r="Q59" i="38" s="1"/>
  <c r="U59" i="38" a="1"/>
  <c r="U59" i="38" s="1"/>
  <c r="V59" i="38" s="1"/>
  <c r="AA59" i="38"/>
  <c r="AF59" i="38"/>
  <c r="AK59" i="38"/>
  <c r="CI59" i="38"/>
  <c r="AM59" i="38" s="1" a="1"/>
  <c r="AM59" i="38" s="1"/>
  <c r="CJ59" i="38"/>
  <c r="AT59" i="38" s="1" a="1"/>
  <c r="AT59" i="38" s="1"/>
  <c r="J60" i="38"/>
  <c r="P60" i="38" a="1"/>
  <c r="P60" i="38" s="1"/>
  <c r="R60" i="38" s="1"/>
  <c r="Q60" i="38" a="1"/>
  <c r="Q60" i="38" s="1"/>
  <c r="U60" i="38" a="1"/>
  <c r="U60" i="38" s="1"/>
  <c r="V60" i="38" s="1"/>
  <c r="AA60" i="38"/>
  <c r="AF60" i="38"/>
  <c r="AK60" i="38"/>
  <c r="CI60" i="38"/>
  <c r="I60" i="38" s="1" a="1"/>
  <c r="I60" i="38" s="1"/>
  <c r="CJ60" i="38"/>
  <c r="AT60" i="38" s="1" a="1"/>
  <c r="AT60" i="38" s="1"/>
  <c r="P8" i="50" a="1"/>
  <c r="P8" i="50" s="1"/>
  <c r="A8" i="50"/>
  <c r="B52" i="38" s="1"/>
  <c r="C74" i="197"/>
  <c r="J56" i="197"/>
  <c r="I56" i="197"/>
  <c r="J55" i="197"/>
  <c r="I55" i="197"/>
  <c r="J51" i="197"/>
  <c r="I51" i="197"/>
  <c r="J50" i="197"/>
  <c r="I50" i="197"/>
  <c r="J49" i="197"/>
  <c r="I49" i="197"/>
  <c r="J42" i="197"/>
  <c r="I42" i="197"/>
  <c r="J41" i="197"/>
  <c r="I41" i="197"/>
  <c r="H37" i="197"/>
  <c r="J37" i="197" s="1"/>
  <c r="H36" i="197"/>
  <c r="I36" i="197" s="1"/>
  <c r="J35" i="197"/>
  <c r="I35" i="197"/>
  <c r="L33" i="197"/>
  <c r="I33" i="197"/>
  <c r="L32" i="197"/>
  <c r="I32" i="197"/>
  <c r="L31" i="197"/>
  <c r="I31" i="197"/>
  <c r="L30" i="197"/>
  <c r="I30" i="197"/>
  <c r="R27" i="197"/>
  <c r="T26" i="197"/>
  <c r="G26" i="197"/>
  <c r="A26" i="197"/>
  <c r="T25" i="197"/>
  <c r="G25" i="197"/>
  <c r="A25" i="197"/>
  <c r="T24" i="197"/>
  <c r="G24" i="197"/>
  <c r="A24" i="197"/>
  <c r="T23" i="197"/>
  <c r="G23" i="197"/>
  <c r="A23" i="197"/>
  <c r="T22" i="197"/>
  <c r="G22" i="197"/>
  <c r="A22" i="197"/>
  <c r="T21" i="197"/>
  <c r="G21" i="197"/>
  <c r="A21" i="197"/>
  <c r="T20" i="197"/>
  <c r="G20" i="197"/>
  <c r="T19" i="197"/>
  <c r="G19" i="197"/>
  <c r="A19" i="197"/>
  <c r="T18" i="197"/>
  <c r="G18" i="197"/>
  <c r="A18" i="197"/>
  <c r="G17" i="197"/>
  <c r="A17" i="197"/>
  <c r="G16" i="197"/>
  <c r="A16" i="197"/>
  <c r="G11" i="197"/>
  <c r="A11" i="197"/>
  <c r="G10" i="197"/>
  <c r="A10" i="197"/>
  <c r="G9" i="197"/>
  <c r="A9" i="197"/>
  <c r="Y8" i="197"/>
  <c r="G8" i="197"/>
  <c r="V7" i="197"/>
  <c r="W7" i="197" s="1"/>
  <c r="G7" i="197"/>
  <c r="Y6" i="197"/>
  <c r="V6" i="197"/>
  <c r="U2" i="197" a="1"/>
  <c r="F58" i="38" l="1"/>
  <c r="U21" i="197" a="1"/>
  <c r="U21" i="197" s="1"/>
  <c r="AT14" i="38" a="1"/>
  <c r="AT14" i="38" s="1"/>
  <c r="AU14" i="38" s="1"/>
  <c r="BM14" i="38" s="1"/>
  <c r="CD24" i="38"/>
  <c r="CD55" i="38"/>
  <c r="CD56" i="38"/>
  <c r="CD57" i="38"/>
  <c r="CD58" i="38"/>
  <c r="CD45" i="38"/>
  <c r="CD41" i="38"/>
  <c r="CD42" i="38"/>
  <c r="CD43" i="38"/>
  <c r="CD36" i="38"/>
  <c r="CD30" i="38"/>
  <c r="CD29" i="38"/>
  <c r="AT50" i="38" a="1"/>
  <c r="AT50" i="38" s="1"/>
  <c r="AU50" i="38" s="1"/>
  <c r="CD32" i="38"/>
  <c r="CD31" i="38"/>
  <c r="AS49" i="38" a="1"/>
  <c r="AS49" i="38" s="1"/>
  <c r="AM48" i="38" a="1"/>
  <c r="AM48" i="38" s="1"/>
  <c r="CD33" i="38"/>
  <c r="AS54" i="38" a="1"/>
  <c r="AS54" i="38" s="1"/>
  <c r="AM27" i="38" a="1"/>
  <c r="AM27" i="38" s="1"/>
  <c r="AT16" i="38" a="1"/>
  <c r="AT16" i="38" s="1"/>
  <c r="AU16" i="38" s="1"/>
  <c r="AV16" i="38" s="1" a="1"/>
  <c r="AV16" i="38" s="1"/>
  <c r="AX16" i="38" s="1"/>
  <c r="AT15" i="38" a="1"/>
  <c r="AT15" i="38" s="1"/>
  <c r="AU15" i="38" s="1"/>
  <c r="BM15" i="38" s="1"/>
  <c r="AT51" i="38" a="1"/>
  <c r="AT51" i="38" s="1"/>
  <c r="AU51" i="38" s="1"/>
  <c r="BM51" i="38" s="1"/>
  <c r="CD14" i="38"/>
  <c r="CD34" i="38"/>
  <c r="I40" i="197"/>
  <c r="X7" i="197"/>
  <c r="U13" i="197" a="1"/>
  <c r="U13" i="197" s="1"/>
  <c r="V13" i="197" s="1"/>
  <c r="U12" i="197" a="1"/>
  <c r="U12" i="197" s="1"/>
  <c r="V12" i="197" s="1"/>
  <c r="U14" i="197" a="1"/>
  <c r="U14" i="197" s="1"/>
  <c r="V14" i="197" s="1"/>
  <c r="U15" i="197" a="1"/>
  <c r="U15" i="197" s="1"/>
  <c r="V15" i="197" s="1"/>
  <c r="J52" i="197"/>
  <c r="I59" i="38" a="1"/>
  <c r="I59" i="38" s="1"/>
  <c r="O3" i="197"/>
  <c r="Y7" i="197" s="1"/>
  <c r="I54" i="197"/>
  <c r="AS40" i="38" a="1"/>
  <c r="AS40" i="38" s="1"/>
  <c r="AT22" i="38" a="1"/>
  <c r="AT22" i="38" s="1"/>
  <c r="AU22" i="38" s="1"/>
  <c r="AV22" i="38" s="1" a="1"/>
  <c r="AV22" i="38" s="1"/>
  <c r="AX22" i="38" s="1"/>
  <c r="AQ21" i="38"/>
  <c r="CJ21" i="38" s="1"/>
  <c r="I53" i="38" a="1"/>
  <c r="I53" i="38" s="1"/>
  <c r="AM39" i="38" a="1"/>
  <c r="AM39" i="38" s="1"/>
  <c r="J54" i="197"/>
  <c r="AM50" i="38" a="1"/>
  <c r="AM50" i="38" s="1"/>
  <c r="AS46" i="38" a="1"/>
  <c r="AS46" i="38" s="1"/>
  <c r="J36" i="197"/>
  <c r="J38" i="197" s="1"/>
  <c r="J39" i="197" s="1"/>
  <c r="I25" i="38" a="1"/>
  <c r="I25" i="38" s="1"/>
  <c r="I52" i="197"/>
  <c r="U25" i="197" a="1"/>
  <c r="U25" i="197" s="1"/>
  <c r="V25" i="197" s="1"/>
  <c r="W25" i="197" s="1"/>
  <c r="AS60" i="38" a="1"/>
  <c r="AS60" i="38" s="1"/>
  <c r="AT44" i="38" a="1"/>
  <c r="AT44" i="38" s="1"/>
  <c r="AU44" i="38" s="1"/>
  <c r="CD22" i="38"/>
  <c r="CD20" i="38"/>
  <c r="AG49" i="38" a="1"/>
  <c r="AG49" i="38" s="1"/>
  <c r="AL49" i="38" s="1"/>
  <c r="CD23" i="38"/>
  <c r="CD37" i="38"/>
  <c r="CD25" i="38"/>
  <c r="AN46" i="38" a="1"/>
  <c r="AN46" i="38" s="1"/>
  <c r="AG21" i="38" a="1"/>
  <c r="AG21" i="38" s="1"/>
  <c r="AL21" i="38" s="1"/>
  <c r="AG37" i="38" a="1"/>
  <c r="AG37" i="38" s="1"/>
  <c r="AL37" i="38" s="1"/>
  <c r="AN20" i="38" a="1"/>
  <c r="AN20" i="38" s="1"/>
  <c r="CD19" i="38"/>
  <c r="AN14" i="38" a="1"/>
  <c r="AN14" i="38" s="1"/>
  <c r="CD44" i="38"/>
  <c r="CD46" i="38"/>
  <c r="CD35" i="38"/>
  <c r="CD60" i="38"/>
  <c r="CD53" i="38"/>
  <c r="AG22" i="38" a="1"/>
  <c r="AG22" i="38" s="1"/>
  <c r="AL22" i="38" s="1"/>
  <c r="AN22" i="38" a="1"/>
  <c r="AN22" i="38" s="1"/>
  <c r="AO22" i="38"/>
  <c r="AN16" i="38" a="1"/>
  <c r="AN16" i="38" s="1"/>
  <c r="AG16" i="38" a="1"/>
  <c r="AG16" i="38" s="1"/>
  <c r="AL16" i="38" s="1"/>
  <c r="CD21" i="38"/>
  <c r="CD15" i="38"/>
  <c r="CD16" i="38"/>
  <c r="CD54" i="38"/>
  <c r="CD59" i="38"/>
  <c r="AN15" i="38" a="1"/>
  <c r="AN15" i="38" s="1"/>
  <c r="AG60" i="38" a="1"/>
  <c r="AG60" i="38" s="1"/>
  <c r="AL60" i="38" s="1"/>
  <c r="AO60" i="38"/>
  <c r="AN60" i="38" a="1"/>
  <c r="AN60" i="38" s="1"/>
  <c r="AY54" i="38" a="1"/>
  <c r="AY54" i="38" s="1"/>
  <c r="AZ54" i="38" s="1"/>
  <c r="AU54" i="38"/>
  <c r="AY60" i="38" a="1"/>
  <c r="AY60" i="38" s="1"/>
  <c r="AZ60" i="38" s="1"/>
  <c r="AU60" i="38"/>
  <c r="AN59" i="38" a="1"/>
  <c r="AN59" i="38" s="1"/>
  <c r="AG59" i="38" a="1"/>
  <c r="AG59" i="38" s="1"/>
  <c r="AL59" i="38" s="1"/>
  <c r="AO59" i="38"/>
  <c r="AN53" i="38" a="1"/>
  <c r="AN53" i="38" s="1"/>
  <c r="AG53" i="38" a="1"/>
  <c r="AG53" i="38" s="1"/>
  <c r="AL53" i="38" s="1"/>
  <c r="AO53" i="38"/>
  <c r="AU59" i="38"/>
  <c r="AY59" i="38" a="1"/>
  <c r="AY59" i="38" s="1"/>
  <c r="AZ59" i="38" s="1"/>
  <c r="AG54" i="38" a="1"/>
  <c r="AG54" i="38" s="1"/>
  <c r="AL54" i="38" s="1"/>
  <c r="AO54" i="38"/>
  <c r="AN54" i="38" a="1"/>
  <c r="AN54" i="38" s="1"/>
  <c r="AS59" i="38" a="1"/>
  <c r="AS59" i="38" s="1"/>
  <c r="AS53" i="38" a="1"/>
  <c r="AS53" i="38" s="1"/>
  <c r="AN51" i="38" a="1"/>
  <c r="AN51" i="38" s="1"/>
  <c r="AN50" i="38" a="1"/>
  <c r="AN50" i="38" s="1"/>
  <c r="AG50" i="38" a="1"/>
  <c r="AG50" i="38" s="1"/>
  <c r="AL50" i="38" s="1"/>
  <c r="AO50" i="38"/>
  <c r="AM60" i="38" a="1"/>
  <c r="AM60" i="38" s="1"/>
  <c r="AM54" i="38" a="1"/>
  <c r="AM54" i="38" s="1"/>
  <c r="AN49" i="38" a="1"/>
  <c r="AN49" i="38" s="1"/>
  <c r="AO51" i="38"/>
  <c r="AU49" i="38"/>
  <c r="AY49" i="38" a="1"/>
  <c r="AY49" i="38" s="1"/>
  <c r="AZ49" i="38" s="1"/>
  <c r="CD49" i="38"/>
  <c r="CD51" i="38"/>
  <c r="CD48" i="38"/>
  <c r="CD50" i="38"/>
  <c r="I51" i="38" a="1"/>
  <c r="I51" i="38" s="1"/>
  <c r="AM51" i="38" a="1"/>
  <c r="AM51" i="38" s="1"/>
  <c r="AG51" i="38" a="1"/>
  <c r="AG51" i="38" s="1"/>
  <c r="AL51" i="38" s="1"/>
  <c r="AO49" i="38"/>
  <c r="AN48" i="38" a="1"/>
  <c r="AN48" i="38" s="1"/>
  <c r="AG48" i="38" a="1"/>
  <c r="AG48" i="38" s="1"/>
  <c r="AL48" i="38" s="1"/>
  <c r="AO48" i="38"/>
  <c r="AM49" i="38" a="1"/>
  <c r="AM49" i="38" s="1"/>
  <c r="AU46" i="38"/>
  <c r="AN39" i="38" a="1"/>
  <c r="AN39" i="38" s="1"/>
  <c r="AG39" i="38" a="1"/>
  <c r="AG39" i="38" s="1"/>
  <c r="AL39" i="38" s="1"/>
  <c r="AO39" i="38"/>
  <c r="I46" i="38" a="1"/>
  <c r="I46" i="38" s="1"/>
  <c r="AM46" i="38" a="1"/>
  <c r="AM46" i="38" s="1"/>
  <c r="AO46" i="38"/>
  <c r="AN40" i="38" a="1"/>
  <c r="AN40" i="38" s="1"/>
  <c r="AG40" i="38" a="1"/>
  <c r="AG40" i="38" s="1"/>
  <c r="AL40" i="38" s="1"/>
  <c r="AO40" i="38"/>
  <c r="AY40" i="38" a="1"/>
  <c r="AY40" i="38" s="1"/>
  <c r="AZ40" i="38" s="1"/>
  <c r="AU40" i="38"/>
  <c r="AN37" i="38" a="1"/>
  <c r="AN37" i="38" s="1"/>
  <c r="CD39" i="38"/>
  <c r="CD40" i="38"/>
  <c r="AG46" i="38" a="1"/>
  <c r="AG46" i="38" s="1"/>
  <c r="AL46" i="38" s="1"/>
  <c r="AT37" i="38" a="1"/>
  <c r="AT37" i="38" s="1"/>
  <c r="AM37" i="38" a="1"/>
  <c r="AM37" i="38" s="1"/>
  <c r="AN28" i="38" a="1"/>
  <c r="AN28" i="38" s="1"/>
  <c r="AG28" i="38" a="1"/>
  <c r="AG28" i="38" s="1"/>
  <c r="AL28" i="38" s="1"/>
  <c r="AO28" i="38"/>
  <c r="AM40" i="38" a="1"/>
  <c r="AM40" i="38" s="1"/>
  <c r="AO37" i="38"/>
  <c r="AT35" i="38" a="1"/>
  <c r="AT35" i="38" s="1"/>
  <c r="AG25" i="38" a="1"/>
  <c r="AG25" i="38" s="1"/>
  <c r="AL25" i="38" s="1"/>
  <c r="AO25" i="38"/>
  <c r="AS28" i="38" a="1"/>
  <c r="AS28" i="38" s="1"/>
  <c r="AT28" i="38" a="1"/>
  <c r="AT28" i="38" s="1"/>
  <c r="CD28" i="38"/>
  <c r="CD27" i="38"/>
  <c r="I28" i="38" a="1"/>
  <c r="I28" i="38" s="1"/>
  <c r="AN27" i="38" a="1"/>
  <c r="AN27" i="38" s="1"/>
  <c r="AG27" i="38" a="1"/>
  <c r="AG27" i="38" s="1"/>
  <c r="AL27" i="38" s="1"/>
  <c r="AO27" i="38"/>
  <c r="AT23" i="38" a="1"/>
  <c r="AT23" i="38" s="1"/>
  <c r="AM21" i="38" a="1"/>
  <c r="AM21" i="38" s="1"/>
  <c r="AN25" i="38" a="1"/>
  <c r="AN25" i="38" s="1"/>
  <c r="AM22" i="38" a="1"/>
  <c r="AM22" i="38" s="1"/>
  <c r="AM19" i="38" a="1"/>
  <c r="AM19" i="38" s="1"/>
  <c r="I20" i="38" a="1"/>
  <c r="I20" i="38" s="1"/>
  <c r="AM20" i="38" a="1"/>
  <c r="AM20" i="38" s="1"/>
  <c r="AT25" i="38" a="1"/>
  <c r="AT25" i="38" s="1"/>
  <c r="AG20" i="38" a="1"/>
  <c r="AG20" i="38" s="1"/>
  <c r="AL20" i="38" s="1"/>
  <c r="AO20" i="38"/>
  <c r="AO21" i="38"/>
  <c r="AN19" i="38" a="1"/>
  <c r="AN19" i="38" s="1"/>
  <c r="AG19" i="38" a="1"/>
  <c r="AG19" i="38" s="1"/>
  <c r="AL19" i="38" s="1"/>
  <c r="AO19" i="38"/>
  <c r="AN21" i="38" a="1"/>
  <c r="AN21" i="38" s="1"/>
  <c r="I14" i="38" a="1"/>
  <c r="I14" i="38" s="1"/>
  <c r="AM14" i="38" a="1"/>
  <c r="AM14" i="38" s="1"/>
  <c r="AG14" i="38" a="1"/>
  <c r="AG14" i="38" s="1"/>
  <c r="AL14" i="38" s="1"/>
  <c r="AO14" i="38"/>
  <c r="AO18" i="38"/>
  <c r="I16" i="38" a="1"/>
  <c r="I16" i="38" s="1"/>
  <c r="AM16" i="38" a="1"/>
  <c r="AM16" i="38" s="1"/>
  <c r="AM13" i="38" a="1"/>
  <c r="AM13" i="38" s="1"/>
  <c r="AN18" i="38" a="1"/>
  <c r="AN18" i="38" s="1"/>
  <c r="I15" i="38" a="1"/>
  <c r="I15" i="38" s="1"/>
  <c r="AM15" i="38" a="1"/>
  <c r="AM15" i="38" s="1"/>
  <c r="CD18" i="38"/>
  <c r="AM18" i="38" a="1"/>
  <c r="AM18" i="38" s="1"/>
  <c r="AG15" i="38" a="1"/>
  <c r="AG15" i="38" s="1"/>
  <c r="AL15" i="38" s="1"/>
  <c r="AO15" i="38"/>
  <c r="AG18" i="38" a="1"/>
  <c r="AG18" i="38" s="1"/>
  <c r="AL18" i="38" s="1"/>
  <c r="AO16" i="38"/>
  <c r="AG13" i="38" a="1"/>
  <c r="AG13" i="38" s="1"/>
  <c r="AL13" i="38" s="1"/>
  <c r="AO13" i="38"/>
  <c r="AN13" i="38" a="1"/>
  <c r="AN13" i="38" s="1"/>
  <c r="CD13" i="38"/>
  <c r="U16" i="197" a="1"/>
  <c r="U16" i="197" s="1"/>
  <c r="V16" i="197" s="1"/>
  <c r="U8" i="197" a="1"/>
  <c r="U8" i="197" s="1"/>
  <c r="V8" i="197" s="1"/>
  <c r="U26" i="197" a="1"/>
  <c r="U26" i="197" s="1"/>
  <c r="V26" i="197" s="1"/>
  <c r="X26" i="197" s="1"/>
  <c r="U19" i="197" a="1"/>
  <c r="U19" i="197" s="1"/>
  <c r="V19" i="197" s="1"/>
  <c r="X19" i="197" s="1"/>
  <c r="U22" i="197" a="1"/>
  <c r="U22" i="197" s="1"/>
  <c r="V22" i="197" s="1"/>
  <c r="X22" i="197" s="1"/>
  <c r="U9" i="197" a="1"/>
  <c r="U9" i="197" s="1"/>
  <c r="V9" i="197" s="1"/>
  <c r="X9" i="197" s="1"/>
  <c r="U11" i="197" a="1"/>
  <c r="U11" i="197" s="1"/>
  <c r="V11" i="197" s="1"/>
  <c r="X11" i="197" s="1"/>
  <c r="U24" i="197" a="1"/>
  <c r="U24" i="197" s="1"/>
  <c r="V24" i="197" s="1"/>
  <c r="W24" i="197" s="1"/>
  <c r="U18" i="197" a="1"/>
  <c r="U18" i="197" s="1"/>
  <c r="V18" i="197" s="1"/>
  <c r="X18" i="197" s="1"/>
  <c r="U20" i="197" a="1"/>
  <c r="U20" i="197" s="1"/>
  <c r="V20" i="197" s="1"/>
  <c r="U17" i="197" a="1"/>
  <c r="U17" i="197" s="1"/>
  <c r="V17" i="197" s="1"/>
  <c r="X17" i="197" s="1"/>
  <c r="U23" i="197" a="1"/>
  <c r="U23" i="197" s="1"/>
  <c r="V23" i="197" s="1"/>
  <c r="U10" i="197" a="1"/>
  <c r="U10" i="197" s="1"/>
  <c r="V10" i="197" s="1"/>
  <c r="X10" i="197" s="1"/>
  <c r="V21" i="197"/>
  <c r="X21" i="197" s="1"/>
  <c r="U2" i="197"/>
  <c r="N3" i="197"/>
  <c r="I37" i="197"/>
  <c r="I38" i="197" s="1"/>
  <c r="I39" i="197" s="1"/>
  <c r="AV14" i="38" l="1" a="1"/>
  <c r="AV14" i="38" s="1"/>
  <c r="AX14" i="38" s="1"/>
  <c r="AY14" i="38" a="1"/>
  <c r="AY14" i="38" s="1"/>
  <c r="AZ14" i="38" s="1"/>
  <c r="X24" i="197"/>
  <c r="Y24" i="197" s="1"/>
  <c r="X25" i="197"/>
  <c r="Y25" i="197" s="1"/>
  <c r="AY50" i="38" a="1"/>
  <c r="AY50" i="38" s="1"/>
  <c r="AZ50" i="38" s="1"/>
  <c r="W26" i="197"/>
  <c r="AV15" i="38" a="1"/>
  <c r="AV15" i="38" s="1"/>
  <c r="AX15" i="38" s="1"/>
  <c r="BM16" i="38"/>
  <c r="AY15" i="38" a="1"/>
  <c r="AY15" i="38" s="1"/>
  <c r="AZ15" i="38" s="1"/>
  <c r="AV51" i="38" a="1"/>
  <c r="AV51" i="38" s="1"/>
  <c r="AX51" i="38" s="1"/>
  <c r="BM22" i="38"/>
  <c r="AY16" i="38" a="1"/>
  <c r="AY16" i="38" s="1"/>
  <c r="AZ16" i="38" s="1"/>
  <c r="BA16" i="38" s="1"/>
  <c r="BF16" i="38" s="1"/>
  <c r="AY51" i="38" a="1"/>
  <c r="AY51" i="38" s="1"/>
  <c r="AZ51" i="38" s="1"/>
  <c r="J53" i="197"/>
  <c r="X15" i="197"/>
  <c r="W15" i="197"/>
  <c r="X14" i="197"/>
  <c r="W14" i="197"/>
  <c r="X12" i="197"/>
  <c r="W12" i="197"/>
  <c r="X13" i="197"/>
  <c r="W13" i="197"/>
  <c r="I53" i="197"/>
  <c r="W10" i="197"/>
  <c r="Y10" i="197" s="1"/>
  <c r="AY44" i="38" a="1"/>
  <c r="AY44" i="38" s="1"/>
  <c r="AZ44" i="38" s="1"/>
  <c r="AY22" i="38" a="1"/>
  <c r="AY22" i="38" s="1"/>
  <c r="AZ22" i="38" s="1"/>
  <c r="BA22" i="38" s="1"/>
  <c r="X23" i="197"/>
  <c r="W23" i="197"/>
  <c r="W11" i="197"/>
  <c r="Y11" i="197" s="1"/>
  <c r="W21" i="197"/>
  <c r="W19" i="197"/>
  <c r="AP14" i="38"/>
  <c r="BD14" i="38" s="1"/>
  <c r="AP18" i="38"/>
  <c r="BD18" i="38" s="1"/>
  <c r="AP27" i="38"/>
  <c r="BD27" i="38" s="1"/>
  <c r="AP49" i="38"/>
  <c r="BK49" i="38" s="1"/>
  <c r="AP50" i="38"/>
  <c r="BK50" i="38" s="1"/>
  <c r="AP25" i="38"/>
  <c r="BD25" i="38" s="1"/>
  <c r="AP22" i="38"/>
  <c r="AP13" i="38"/>
  <c r="BK13" i="38" s="1"/>
  <c r="AP53" i="38"/>
  <c r="BK53" i="38" s="1"/>
  <c r="AP59" i="38"/>
  <c r="BD59" i="38" s="1"/>
  <c r="AP39" i="38"/>
  <c r="BK39" i="38" s="1"/>
  <c r="AP40" i="38"/>
  <c r="AP20" i="38"/>
  <c r="AP46" i="38"/>
  <c r="AP51" i="38"/>
  <c r="AP15" i="38"/>
  <c r="AP54" i="38"/>
  <c r="BM49" i="38"/>
  <c r="AV49" i="38" a="1"/>
  <c r="AV49" i="38" s="1"/>
  <c r="AX49" i="38" s="1"/>
  <c r="BA49" i="38" s="1"/>
  <c r="AY35" i="38" a="1"/>
  <c r="AY35" i="38" s="1"/>
  <c r="AZ35" i="38" s="1"/>
  <c r="AU35" i="38"/>
  <c r="BM46" i="38"/>
  <c r="AV46" i="38" a="1"/>
  <c r="AV46" i="38" s="1"/>
  <c r="AX46" i="38" s="1"/>
  <c r="BM54" i="38"/>
  <c r="AV54" i="38" a="1"/>
  <c r="AV54" i="38" s="1"/>
  <c r="AX54" i="38" s="1"/>
  <c r="AS21" i="38" a="1"/>
  <c r="AS21" i="38" s="1"/>
  <c r="AT21" i="38" a="1"/>
  <c r="AT21" i="38" s="1"/>
  <c r="AP19" i="38"/>
  <c r="AU28" i="38"/>
  <c r="AY28" i="38" a="1"/>
  <c r="AY28" i="38" s="1"/>
  <c r="AZ28" i="38" s="1"/>
  <c r="AV44" i="38" a="1"/>
  <c r="AV44" i="38" s="1"/>
  <c r="AX44" i="38" s="1"/>
  <c r="BM44" i="38"/>
  <c r="AP37" i="38"/>
  <c r="AP21" i="38"/>
  <c r="AY25" i="38" a="1"/>
  <c r="AY25" i="38" s="1"/>
  <c r="AZ25" i="38" s="1"/>
  <c r="AU25" i="38"/>
  <c r="BM50" i="38"/>
  <c r="AV50" i="38" a="1"/>
  <c r="AV50" i="38" s="1"/>
  <c r="AX50" i="38" s="1"/>
  <c r="AP60" i="38"/>
  <c r="AU23" i="38"/>
  <c r="AY23" i="38" a="1"/>
  <c r="AY23" i="38" s="1"/>
  <c r="AZ23" i="38" s="1"/>
  <c r="AP28" i="38"/>
  <c r="AU37" i="38"/>
  <c r="AY37" i="38" a="1"/>
  <c r="AY37" i="38" s="1"/>
  <c r="AZ37" i="38" s="1"/>
  <c r="BM40" i="38"/>
  <c r="AV40" i="38" a="1"/>
  <c r="AV40" i="38" s="1"/>
  <c r="AX40" i="38" s="1"/>
  <c r="BM59" i="38"/>
  <c r="AV59" i="38" a="1"/>
  <c r="AV59" i="38" s="1"/>
  <c r="AX59" i="38" s="1"/>
  <c r="AP16" i="38"/>
  <c r="AP48" i="38"/>
  <c r="AV60" i="38" a="1"/>
  <c r="AV60" i="38" s="1"/>
  <c r="AX60" i="38" s="1"/>
  <c r="BM60" i="38"/>
  <c r="X16" i="197"/>
  <c r="W16" i="197"/>
  <c r="X20" i="197"/>
  <c r="W20" i="197"/>
  <c r="W9" i="197"/>
  <c r="W18" i="197"/>
  <c r="Y18" i="197" s="1"/>
  <c r="W17" i="197"/>
  <c r="Y17" i="197" s="1"/>
  <c r="W22" i="197"/>
  <c r="Y22" i="197" s="1"/>
  <c r="Y21" i="197"/>
  <c r="Y26" i="197"/>
  <c r="Y19" i="197"/>
  <c r="Y20" i="197" l="1"/>
  <c r="BA14" i="38"/>
  <c r="BF14" i="38" s="1"/>
  <c r="Y13" i="197"/>
  <c r="Y23" i="197"/>
  <c r="BA15" i="38"/>
  <c r="BF15" i="38" s="1"/>
  <c r="BA51" i="38"/>
  <c r="BF51" i="38" s="1"/>
  <c r="X27" i="197"/>
  <c r="Y12" i="197"/>
  <c r="Y14" i="197"/>
  <c r="W27" i="197"/>
  <c r="Y15" i="197"/>
  <c r="Y9" i="197"/>
  <c r="BK14" i="38"/>
  <c r="BK18" i="38"/>
  <c r="BD49" i="38"/>
  <c r="BD50" i="38"/>
  <c r="BK27" i="38"/>
  <c r="BD53" i="38"/>
  <c r="BK25" i="38"/>
  <c r="BD13" i="38"/>
  <c r="BD22" i="38"/>
  <c r="BD39" i="38"/>
  <c r="BK22" i="38"/>
  <c r="BB22" i="38"/>
  <c r="BA46" i="38"/>
  <c r="BB46" i="38" s="1"/>
  <c r="BK59" i="38"/>
  <c r="BA59" i="38"/>
  <c r="BB59" i="38" s="1"/>
  <c r="BL59" i="38" s="1" a="1"/>
  <c r="BL59" i="38" s="1"/>
  <c r="BA54" i="38"/>
  <c r="BA60" i="38"/>
  <c r="BB60" i="38" s="1"/>
  <c r="BD51" i="38"/>
  <c r="BK51" i="38"/>
  <c r="BK48" i="38"/>
  <c r="BD48" i="38"/>
  <c r="BF49" i="38"/>
  <c r="BM37" i="38"/>
  <c r="AV37" i="38" a="1"/>
  <c r="AV37" i="38" s="1"/>
  <c r="AX37" i="38" s="1"/>
  <c r="BM25" i="38"/>
  <c r="AV25" i="38" a="1"/>
  <c r="AV25" i="38" s="1"/>
  <c r="AX25" i="38" s="1"/>
  <c r="BD16" i="38"/>
  <c r="BK16" i="38"/>
  <c r="BB16" i="38"/>
  <c r="BD28" i="38"/>
  <c r="BK28" i="38"/>
  <c r="BD60" i="38"/>
  <c r="BK60" i="38"/>
  <c r="BD37" i="38"/>
  <c r="BK37" i="38"/>
  <c r="BD19" i="38"/>
  <c r="BK19" i="38"/>
  <c r="BD21" i="38"/>
  <c r="BK21" i="38"/>
  <c r="BM28" i="38"/>
  <c r="AV28" i="38" a="1"/>
  <c r="AV28" i="38" s="1"/>
  <c r="AX28" i="38" s="1"/>
  <c r="BB49" i="38"/>
  <c r="BD46" i="38"/>
  <c r="BK46" i="38"/>
  <c r="BA44" i="38"/>
  <c r="BF22" i="38"/>
  <c r="BD54" i="38"/>
  <c r="BK54" i="38"/>
  <c r="BD15" i="38"/>
  <c r="BK15" i="38"/>
  <c r="BM23" i="38"/>
  <c r="AV23" i="38" a="1"/>
  <c r="AV23" i="38" s="1"/>
  <c r="AX23" i="38" s="1"/>
  <c r="BA50" i="38"/>
  <c r="AY21" i="38" a="1"/>
  <c r="AY21" i="38" s="1"/>
  <c r="AZ21" i="38" s="1"/>
  <c r="BK20" i="38"/>
  <c r="BD20" i="38"/>
  <c r="BD40" i="38"/>
  <c r="BK40" i="38"/>
  <c r="BA40" i="38"/>
  <c r="AV35" i="38" a="1"/>
  <c r="AV35" i="38" s="1"/>
  <c r="AX35" i="38" s="1"/>
  <c r="BM35" i="38"/>
  <c r="Y16" i="197"/>
  <c r="BB14" i="38" l="1"/>
  <c r="BL14" i="38" s="1" a="1"/>
  <c r="BL14" i="38" s="1"/>
  <c r="Y27" i="197"/>
  <c r="C3" i="197" s="1"/>
  <c r="E10" i="43" s="1"/>
  <c r="I10" i="43" s="1"/>
  <c r="BB15" i="38"/>
  <c r="BG15" i="38" s="1" a="1"/>
  <c r="BG15" i="38" s="1"/>
  <c r="BH15" i="38" s="1"/>
  <c r="BB51" i="38"/>
  <c r="BC51" i="38" s="1" a="1"/>
  <c r="BC51" i="38" s="1"/>
  <c r="BF54" i="38"/>
  <c r="BL22" i="38" a="1"/>
  <c r="BL22" i="38" s="1"/>
  <c r="BE22" i="38" a="1"/>
  <c r="BE22" i="38" s="1"/>
  <c r="BN22" i="38" a="1"/>
  <c r="BN22" i="38" s="1"/>
  <c r="BO22" i="38" s="1"/>
  <c r="BC22" i="38" a="1"/>
  <c r="BC22" i="38" s="1"/>
  <c r="BJ22" i="38" a="1"/>
  <c r="BJ22" i="38" s="1"/>
  <c r="BF46" i="38"/>
  <c r="BG22" i="38" a="1"/>
  <c r="BG22" i="38" s="1"/>
  <c r="BH22" i="38" s="1"/>
  <c r="BE59" i="38" a="1"/>
  <c r="BE59" i="38" s="1"/>
  <c r="BB54" i="38"/>
  <c r="BF59" i="38"/>
  <c r="BJ59" i="38" a="1"/>
  <c r="BJ59" i="38" s="1"/>
  <c r="BC59" i="38" a="1"/>
  <c r="BC59" i="38" s="1"/>
  <c r="BN59" i="38" a="1"/>
  <c r="BN59" i="38" s="1"/>
  <c r="BO59" i="38" s="1"/>
  <c r="BG59" i="38" a="1"/>
  <c r="BG59" i="38" s="1"/>
  <c r="BH59" i="38" s="1"/>
  <c r="BF40" i="38"/>
  <c r="BB40" i="38"/>
  <c r="BF50" i="38"/>
  <c r="BB50" i="38"/>
  <c r="BF44" i="38"/>
  <c r="BC49" i="38" a="1"/>
  <c r="BC49" i="38" s="1"/>
  <c r="BN49" i="38" a="1"/>
  <c r="BN49" i="38" s="1"/>
  <c r="BO49" i="38" s="1"/>
  <c r="BJ49" i="38" a="1"/>
  <c r="BJ49" i="38" s="1"/>
  <c r="BE49" i="38" a="1"/>
  <c r="BE49" i="38" s="1"/>
  <c r="BL49" i="38" a="1"/>
  <c r="BL49" i="38" s="1"/>
  <c r="BG49" i="38" a="1"/>
  <c r="BG49" i="38" s="1"/>
  <c r="BH49" i="38" s="1"/>
  <c r="BA37" i="38"/>
  <c r="BJ46" i="38" a="1"/>
  <c r="BJ46" i="38" s="1"/>
  <c r="BL46" i="38" a="1"/>
  <c r="BL46" i="38" s="1"/>
  <c r="BG46" i="38" a="1"/>
  <c r="BG46" i="38" s="1"/>
  <c r="BH46" i="38" s="1"/>
  <c r="BC46" i="38" a="1"/>
  <c r="BC46" i="38" s="1"/>
  <c r="BN46" i="38" a="1"/>
  <c r="BN46" i="38" s="1"/>
  <c r="BO46" i="38" s="1"/>
  <c r="BE46" i="38" a="1"/>
  <c r="BE46" i="38" s="1"/>
  <c r="BF60" i="38"/>
  <c r="BJ16" i="38" a="1"/>
  <c r="BJ16" i="38" s="1"/>
  <c r="BL16" i="38" a="1"/>
  <c r="BL16" i="38" s="1"/>
  <c r="BG16" i="38" a="1"/>
  <c r="BG16" i="38" s="1"/>
  <c r="BH16" i="38" s="1"/>
  <c r="BC16" i="38" a="1"/>
  <c r="BC16" i="38" s="1"/>
  <c r="BN16" i="38" a="1"/>
  <c r="BN16" i="38" s="1"/>
  <c r="BO16" i="38" s="1"/>
  <c r="BE16" i="38" a="1"/>
  <c r="BE16" i="38" s="1"/>
  <c r="BA23" i="38"/>
  <c r="BA35" i="38"/>
  <c r="BA28" i="38"/>
  <c r="BJ60" i="38" a="1"/>
  <c r="BJ60" i="38" s="1"/>
  <c r="BE60" i="38" a="1"/>
  <c r="BE60" i="38" s="1"/>
  <c r="BL60" i="38" a="1"/>
  <c r="BL60" i="38" s="1"/>
  <c r="BG60" i="38" a="1"/>
  <c r="BG60" i="38" s="1"/>
  <c r="BH60" i="38" s="1"/>
  <c r="BC60" i="38" a="1"/>
  <c r="BC60" i="38" s="1"/>
  <c r="BN60" i="38" a="1"/>
  <c r="BN60" i="38" s="1"/>
  <c r="BO60" i="38" s="1"/>
  <c r="BA25" i="38"/>
  <c r="BG14" i="38" l="1" a="1"/>
  <c r="BG14" i="38" s="1"/>
  <c r="BH14" i="38" s="1"/>
  <c r="BI14" i="38" s="1"/>
  <c r="BP14" i="38" s="1" a="1"/>
  <c r="BP14" i="38" s="1"/>
  <c r="BN14" i="38" a="1"/>
  <c r="BN14" i="38" s="1"/>
  <c r="BO14" i="38" s="1"/>
  <c r="BE14" i="38" a="1"/>
  <c r="BE14" i="38" s="1"/>
  <c r="BJ14" i="38" a="1"/>
  <c r="BJ14" i="38" s="1"/>
  <c r="BC14" i="38" a="1"/>
  <c r="BC14" i="38" s="1"/>
  <c r="BE15" i="38" a="1"/>
  <c r="BE15" i="38" s="1"/>
  <c r="BL15" i="38" a="1"/>
  <c r="BL15" i="38" s="1"/>
  <c r="BJ15" i="38" a="1"/>
  <c r="BJ15" i="38" s="1"/>
  <c r="BN15" i="38" a="1"/>
  <c r="BN15" i="38" s="1"/>
  <c r="BO15" i="38" s="1"/>
  <c r="U10" i="43"/>
  <c r="BC15" i="38" a="1"/>
  <c r="BC15" i="38" s="1"/>
  <c r="BE51" i="38" a="1"/>
  <c r="BE51" i="38" s="1"/>
  <c r="BG51" i="38" a="1"/>
  <c r="BG51" i="38" s="1"/>
  <c r="BH51" i="38" s="1"/>
  <c r="BI51" i="38" s="1"/>
  <c r="BP51" i="38" s="1" a="1"/>
  <c r="BP51" i="38" s="1"/>
  <c r="BL51" i="38" a="1"/>
  <c r="BL51" i="38" s="1"/>
  <c r="BJ51" i="38" a="1"/>
  <c r="BJ51" i="38" s="1"/>
  <c r="BN51" i="38" a="1"/>
  <c r="BN51" i="38" s="1"/>
  <c r="BO51" i="38" s="1"/>
  <c r="AT53" i="38" a="1"/>
  <c r="AT53" i="38" s="1"/>
  <c r="BI22" i="38"/>
  <c r="BP22" i="38" s="1" a="1"/>
  <c r="BP22" i="38" s="1"/>
  <c r="BR22" i="38" s="1"/>
  <c r="BI59" i="38"/>
  <c r="BP59" i="38" s="1" a="1"/>
  <c r="BP59" i="38" s="1"/>
  <c r="BR59" i="38" s="1"/>
  <c r="BJ54" i="38" a="1"/>
  <c r="BJ54" i="38" s="1"/>
  <c r="BG54" i="38" a="1"/>
  <c r="BG54" i="38" s="1"/>
  <c r="BH54" i="38" s="1"/>
  <c r="BE54" i="38" a="1"/>
  <c r="BE54" i="38" s="1"/>
  <c r="BI46" i="38"/>
  <c r="BP46" i="38" s="1" a="1"/>
  <c r="BP46" i="38" s="1"/>
  <c r="BR46" i="38" s="1"/>
  <c r="BI49" i="38"/>
  <c r="BP49" i="38" s="1" a="1"/>
  <c r="BP49" i="38" s="1"/>
  <c r="BR49" i="38" s="1"/>
  <c r="BI60" i="38"/>
  <c r="BP60" i="38" s="1" a="1"/>
  <c r="BP60" i="38" s="1"/>
  <c r="BR60" i="38" s="1"/>
  <c r="BL54" i="38" a="1"/>
  <c r="BL54" i="38" s="1"/>
  <c r="BN54" i="38" a="1"/>
  <c r="BN54" i="38" s="1"/>
  <c r="BO54" i="38" s="1"/>
  <c r="BC54" i="38" a="1"/>
  <c r="BC54" i="38" s="1"/>
  <c r="BE50" i="38" a="1"/>
  <c r="BE50" i="38" s="1"/>
  <c r="BG50" i="38" a="1"/>
  <c r="BG50" i="38" s="1"/>
  <c r="BH50" i="38" s="1"/>
  <c r="BC50" i="38" a="1"/>
  <c r="BC50" i="38" s="1"/>
  <c r="BN50" i="38" a="1"/>
  <c r="BN50" i="38" s="1"/>
  <c r="BO50" i="38" s="1"/>
  <c r="BJ50" i="38" a="1"/>
  <c r="BJ50" i="38" s="1"/>
  <c r="BL50" i="38" a="1"/>
  <c r="BL50" i="38" s="1"/>
  <c r="BF35" i="38"/>
  <c r="BF25" i="38"/>
  <c r="BB25" i="38"/>
  <c r="BF28" i="38"/>
  <c r="BB28" i="38"/>
  <c r="BF23" i="38"/>
  <c r="BI16" i="38"/>
  <c r="BI15" i="38"/>
  <c r="BJ40" i="38" a="1"/>
  <c r="BJ40" i="38" s="1"/>
  <c r="BE40" i="38" a="1"/>
  <c r="BE40" i="38" s="1"/>
  <c r="BL40" i="38" a="1"/>
  <c r="BL40" i="38" s="1"/>
  <c r="BG40" i="38" a="1"/>
  <c r="BG40" i="38" s="1"/>
  <c r="BH40" i="38" s="1"/>
  <c r="BC40" i="38" a="1"/>
  <c r="BC40" i="38" s="1"/>
  <c r="BN40" i="38" a="1"/>
  <c r="BN40" i="38" s="1"/>
  <c r="BO40" i="38" s="1"/>
  <c r="BF37" i="38"/>
  <c r="BB37" i="38"/>
  <c r="BR14" i="38" l="1"/>
  <c r="BS14" i="38" s="1"/>
  <c r="BT14" i="38" s="1"/>
  <c r="CC14" i="38" s="1" a="1"/>
  <c r="CC14" i="38" s="1"/>
  <c r="BR51" i="38"/>
  <c r="BS51" i="38" s="1"/>
  <c r="BT51" i="38" s="1"/>
  <c r="BI54" i="38"/>
  <c r="BP54" i="38" s="1" a="1"/>
  <c r="BP54" i="38" s="1"/>
  <c r="BR54" i="38" s="1"/>
  <c r="BS60" i="38"/>
  <c r="BT60" i="38" s="1"/>
  <c r="BU60" i="38" s="1"/>
  <c r="BI50" i="38"/>
  <c r="BP50" i="38" s="1" a="1"/>
  <c r="BP50" i="38" s="1"/>
  <c r="BR50" i="38" s="1"/>
  <c r="BS22" i="38"/>
  <c r="BT22" i="38" s="1"/>
  <c r="BS59" i="38"/>
  <c r="BT59" i="38" s="1"/>
  <c r="BS46" i="38"/>
  <c r="BT46" i="38" s="1"/>
  <c r="BJ25" i="38" a="1"/>
  <c r="BJ25" i="38" s="1"/>
  <c r="BE25" i="38" a="1"/>
  <c r="BE25" i="38" s="1"/>
  <c r="BL25" i="38" a="1"/>
  <c r="BL25" i="38" s="1"/>
  <c r="BG25" i="38" a="1"/>
  <c r="BG25" i="38" s="1"/>
  <c r="BH25" i="38" s="1"/>
  <c r="BC25" i="38" a="1"/>
  <c r="BC25" i="38" s="1"/>
  <c r="BN25" i="38" a="1"/>
  <c r="BN25" i="38" s="1"/>
  <c r="BO25" i="38" s="1"/>
  <c r="BP16" i="38" a="1"/>
  <c r="BP16" i="38" s="1"/>
  <c r="BR16" i="38" s="1"/>
  <c r="BP15" i="38" a="1"/>
  <c r="BP15" i="38" s="1"/>
  <c r="BR15" i="38" s="1"/>
  <c r="BI40" i="38"/>
  <c r="BG37" i="38" a="1"/>
  <c r="BG37" i="38" s="1"/>
  <c r="BH37" i="38" s="1"/>
  <c r="BC37" i="38" a="1"/>
  <c r="BC37" i="38" s="1"/>
  <c r="BN37" i="38" a="1"/>
  <c r="BN37" i="38" s="1"/>
  <c r="BO37" i="38" s="1"/>
  <c r="BJ37" i="38" a="1"/>
  <c r="BJ37" i="38" s="1"/>
  <c r="BE37" i="38" a="1"/>
  <c r="BE37" i="38" s="1"/>
  <c r="BL37" i="38" a="1"/>
  <c r="BL37" i="38" s="1"/>
  <c r="BG28" i="38" a="1"/>
  <c r="BG28" i="38" s="1"/>
  <c r="BH28" i="38" s="1"/>
  <c r="BC28" i="38" a="1"/>
  <c r="BC28" i="38" s="1"/>
  <c r="BN28" i="38" a="1"/>
  <c r="BN28" i="38" s="1"/>
  <c r="BO28" i="38" s="1"/>
  <c r="BJ28" i="38" a="1"/>
  <c r="BJ28" i="38" s="1"/>
  <c r="BE28" i="38" a="1"/>
  <c r="BE28" i="38" s="1"/>
  <c r="BL28" i="38" a="1"/>
  <c r="BL28" i="38" s="1"/>
  <c r="BS49" i="38"/>
  <c r="BT49" i="38" s="1"/>
  <c r="BU14" i="38" l="1"/>
  <c r="CB14" i="38" a="1"/>
  <c r="CB14" i="38" s="1"/>
  <c r="DT14" i="38" s="1" a="1"/>
  <c r="DT14" i="38" s="1"/>
  <c r="CC60" i="38" a="1"/>
  <c r="CC60" i="38" s="1"/>
  <c r="DZ60" i="38" s="1" a="1"/>
  <c r="DZ60" i="38" s="1"/>
  <c r="BS54" i="38"/>
  <c r="BT54" i="38" s="1"/>
  <c r="BU54" i="38" s="1"/>
  <c r="CB60" i="38" a="1"/>
  <c r="CB60" i="38" s="1"/>
  <c r="DT60" i="38" s="1" a="1"/>
  <c r="DT60" i="38" s="1"/>
  <c r="BI28" i="38"/>
  <c r="BP28" i="38" s="1" a="1"/>
  <c r="BP28" i="38" s="1"/>
  <c r="BR28" i="38" s="1"/>
  <c r="BS15" i="38"/>
  <c r="BT15" i="38" s="1"/>
  <c r="BS16" i="38"/>
  <c r="BT16" i="38" s="1"/>
  <c r="BS50" i="38"/>
  <c r="BT50" i="38" s="1"/>
  <c r="DY14" i="38" a="1"/>
  <c r="DY14" i="38" s="1"/>
  <c r="DZ14" i="38" a="1"/>
  <c r="DZ14" i="38" s="1"/>
  <c r="EA14" i="38"/>
  <c r="DW14" i="38"/>
  <c r="CP14" i="38" a="1"/>
  <c r="CP14" i="38" s="1"/>
  <c r="CC59" i="38" a="1"/>
  <c r="CC59" i="38" s="1"/>
  <c r="BU59" i="38"/>
  <c r="CB59" i="38" a="1"/>
  <c r="CB59" i="38" s="1"/>
  <c r="BU49" i="38"/>
  <c r="CB49" i="38" a="1"/>
  <c r="CB49" i="38" s="1"/>
  <c r="CC49" i="38" a="1"/>
  <c r="CC49" i="38" s="1"/>
  <c r="BP40" i="38" a="1"/>
  <c r="BP40" i="38" s="1"/>
  <c r="BR40" i="38" s="1"/>
  <c r="BS40" i="38" s="1"/>
  <c r="BT40" i="38" s="1"/>
  <c r="BI25" i="38"/>
  <c r="BU51" i="38"/>
  <c r="CC51" i="38" a="1"/>
  <c r="CC51" i="38" s="1"/>
  <c r="CB51" i="38" a="1"/>
  <c r="CB51" i="38" s="1"/>
  <c r="BU22" i="38"/>
  <c r="CB22" i="38" a="1"/>
  <c r="CB22" i="38" s="1"/>
  <c r="CC22" i="38" a="1"/>
  <c r="CC22" i="38" s="1"/>
  <c r="BI37" i="38"/>
  <c r="CC46" i="38" a="1"/>
  <c r="CC46" i="38" s="1"/>
  <c r="CB46" i="38" a="1"/>
  <c r="CB46" i="38" s="1"/>
  <c r="BU46" i="38"/>
  <c r="CC54" i="38" l="1" a="1"/>
  <c r="CC54" i="38" s="1"/>
  <c r="CP54" i="38" s="1" a="1"/>
  <c r="CP54" i="38" s="1"/>
  <c r="DS14" i="38" a="1"/>
  <c r="DS14" i="38" s="1"/>
  <c r="DQ14" i="38"/>
  <c r="CN14" i="38" a="1"/>
  <c r="CN14" i="38" s="1"/>
  <c r="DU14" i="38"/>
  <c r="DY60" i="38" a="1"/>
  <c r="DY60" i="38" s="1"/>
  <c r="CB54" i="38" a="1"/>
  <c r="CB54" i="38" s="1"/>
  <c r="DT54" i="38" s="1" a="1"/>
  <c r="DT54" i="38" s="1"/>
  <c r="CP60" i="38" a="1"/>
  <c r="CP60" i="38" s="1"/>
  <c r="DW60" i="38"/>
  <c r="EA60" i="38"/>
  <c r="DS60" i="38" a="1"/>
  <c r="DS60" i="38" s="1"/>
  <c r="DQ60" i="38"/>
  <c r="CN60" i="38" a="1"/>
  <c r="CN60" i="38" s="1"/>
  <c r="DU60" i="38"/>
  <c r="CB40" i="38" a="1"/>
  <c r="CB40" i="38" s="1"/>
  <c r="CC40" i="38" a="1"/>
  <c r="CC40" i="38" s="1"/>
  <c r="BU40" i="38"/>
  <c r="DT46" i="38" a="1"/>
  <c r="DT46" i="38" s="1"/>
  <c r="DU46" i="38"/>
  <c r="DQ46" i="38"/>
  <c r="CN46" i="38" a="1"/>
  <c r="CN46" i="38" s="1"/>
  <c r="DS46" i="38" a="1"/>
  <c r="DS46" i="38" s="1"/>
  <c r="BP37" i="38" a="1"/>
  <c r="BP37" i="38" s="1"/>
  <c r="BR37" i="38" s="1"/>
  <c r="DY22" i="38" a="1"/>
  <c r="DY22" i="38" s="1"/>
  <c r="EA22" i="38"/>
  <c r="DW22" i="38"/>
  <c r="DZ22" i="38" a="1"/>
  <c r="DZ22" i="38" s="1"/>
  <c r="CP22" i="38" a="1"/>
  <c r="CP22" i="38" s="1"/>
  <c r="BS28" i="38"/>
  <c r="BT28" i="38" s="1"/>
  <c r="DU59" i="38"/>
  <c r="CN59" i="38" a="1"/>
  <c r="CN59" i="38" s="1"/>
  <c r="DQ59" i="38"/>
  <c r="DS59" i="38" a="1"/>
  <c r="DS59" i="38" s="1"/>
  <c r="DT59" i="38" a="1"/>
  <c r="DT59" i="38" s="1"/>
  <c r="DS22" i="38" a="1"/>
  <c r="DS22" i="38" s="1"/>
  <c r="DU22" i="38"/>
  <c r="DQ22" i="38"/>
  <c r="CN22" i="38" a="1"/>
  <c r="CN22" i="38" s="1"/>
  <c r="DT22" i="38" a="1"/>
  <c r="DT22" i="38" s="1"/>
  <c r="BP25" i="38" a="1"/>
  <c r="BP25" i="38" s="1"/>
  <c r="BR25" i="38" s="1"/>
  <c r="BS25" i="38" s="1"/>
  <c r="BT25" i="38" s="1"/>
  <c r="EA59" i="38"/>
  <c r="DW59" i="38"/>
  <c r="CP59" i="38" a="1"/>
  <c r="CP59" i="38" s="1"/>
  <c r="DY59" i="38" a="1"/>
  <c r="DY59" i="38" s="1"/>
  <c r="DZ59" i="38" a="1"/>
  <c r="DZ59" i="38" s="1"/>
  <c r="CC16" i="38" a="1"/>
  <c r="CC16" i="38" s="1"/>
  <c r="BU16" i="38"/>
  <c r="CB16" i="38" a="1"/>
  <c r="CB16" i="38" s="1"/>
  <c r="DQ51" i="38"/>
  <c r="DS51" i="38" a="1"/>
  <c r="DS51" i="38" s="1"/>
  <c r="DT51" i="38" a="1"/>
  <c r="DT51" i="38" s="1"/>
  <c r="DU51" i="38"/>
  <c r="CN51" i="38" a="1"/>
  <c r="CN51" i="38" s="1"/>
  <c r="DW49" i="38"/>
  <c r="DY49" i="38" a="1"/>
  <c r="DY49" i="38" s="1"/>
  <c r="DZ49" i="38" a="1"/>
  <c r="DZ49" i="38" s="1"/>
  <c r="EA49" i="38"/>
  <c r="CP49" i="38" a="1"/>
  <c r="CP49" i="38" s="1"/>
  <c r="DW51" i="38"/>
  <c r="DY51" i="38" a="1"/>
  <c r="DY51" i="38" s="1"/>
  <c r="DZ51" i="38" a="1"/>
  <c r="DZ51" i="38" s="1"/>
  <c r="EA51" i="38"/>
  <c r="CP51" i="38" a="1"/>
  <c r="CP51" i="38" s="1"/>
  <c r="CN49" i="38" a="1"/>
  <c r="CN49" i="38" s="1"/>
  <c r="DQ49" i="38"/>
  <c r="DS49" i="38" a="1"/>
  <c r="DS49" i="38" s="1"/>
  <c r="DT49" i="38" a="1"/>
  <c r="DT49" i="38" s="1"/>
  <c r="DU49" i="38"/>
  <c r="CP46" i="38" a="1"/>
  <c r="CP46" i="38" s="1"/>
  <c r="DZ46" i="38" a="1"/>
  <c r="DZ46" i="38" s="1"/>
  <c r="EA46" i="38"/>
  <c r="DW46" i="38"/>
  <c r="DY46" i="38" a="1"/>
  <c r="DY46" i="38" s="1"/>
  <c r="CB50" i="38" a="1"/>
  <c r="CB50" i="38" s="1"/>
  <c r="BU50" i="38"/>
  <c r="CC50" i="38" a="1"/>
  <c r="CC50" i="38" s="1"/>
  <c r="BU15" i="38"/>
  <c r="CC15" i="38" a="1"/>
  <c r="CC15" i="38" s="1"/>
  <c r="CB15" i="38" a="1"/>
  <c r="CB15" i="38" s="1"/>
  <c r="DW54" i="38" l="1"/>
  <c r="EA54" i="38"/>
  <c r="DZ54" i="38" a="1"/>
  <c r="DZ54" i="38" s="1"/>
  <c r="DY54" i="38" a="1"/>
  <c r="DY54" i="38" s="1"/>
  <c r="DQ54" i="38"/>
  <c r="CN54" i="38" a="1"/>
  <c r="CN54" i="38" s="1"/>
  <c r="DU54" i="38"/>
  <c r="DS54" i="38" a="1"/>
  <c r="DS54" i="38" s="1"/>
  <c r="BS37" i="38"/>
  <c r="BT37" i="38" s="1"/>
  <c r="CB25" i="38" a="1"/>
  <c r="CB25" i="38" s="1"/>
  <c r="CC25" i="38" a="1"/>
  <c r="CC25" i="38" s="1"/>
  <c r="BU25" i="38"/>
  <c r="DU15" i="38"/>
  <c r="DQ15" i="38"/>
  <c r="DS15" i="38" a="1"/>
  <c r="DS15" i="38" s="1"/>
  <c r="DT15" i="38" a="1"/>
  <c r="DT15" i="38" s="1"/>
  <c r="CN15" i="38" a="1"/>
  <c r="CN15" i="38" s="1"/>
  <c r="DS16" i="38" a="1"/>
  <c r="DS16" i="38" s="1"/>
  <c r="DT16" i="38" a="1"/>
  <c r="DT16" i="38" s="1"/>
  <c r="DU16" i="38"/>
  <c r="DQ16" i="38"/>
  <c r="CN16" i="38" a="1"/>
  <c r="CN16" i="38" s="1"/>
  <c r="DZ50" i="38" a="1"/>
  <c r="DZ50" i="38" s="1"/>
  <c r="EA50" i="38"/>
  <c r="DW50" i="38"/>
  <c r="CP50" i="38" a="1"/>
  <c r="CP50" i="38" s="1"/>
  <c r="DY50" i="38" a="1"/>
  <c r="DY50" i="38" s="1"/>
  <c r="BU28" i="38"/>
  <c r="CB28" i="38" a="1"/>
  <c r="CB28" i="38" s="1"/>
  <c r="CC28" i="38" a="1"/>
  <c r="CC28" i="38" s="1"/>
  <c r="DY16" i="38" a="1"/>
  <c r="DY16" i="38" s="1"/>
  <c r="DZ16" i="38" a="1"/>
  <c r="DZ16" i="38" s="1"/>
  <c r="EA16" i="38"/>
  <c r="DW16" i="38"/>
  <c r="CP16" i="38" a="1"/>
  <c r="CP16" i="38" s="1"/>
  <c r="DY40" i="38" a="1"/>
  <c r="DY40" i="38" s="1"/>
  <c r="DZ40" i="38" a="1"/>
  <c r="DZ40" i="38" s="1"/>
  <c r="EA40" i="38"/>
  <c r="DW40" i="38"/>
  <c r="CP40" i="38" a="1"/>
  <c r="CP40" i="38" s="1"/>
  <c r="EA15" i="38"/>
  <c r="DW15" i="38"/>
  <c r="CP15" i="38" a="1"/>
  <c r="CP15" i="38" s="1"/>
  <c r="DY15" i="38" a="1"/>
  <c r="DY15" i="38" s="1"/>
  <c r="DZ15" i="38" a="1"/>
  <c r="DZ15" i="38" s="1"/>
  <c r="DT50" i="38" a="1"/>
  <c r="DT50" i="38" s="1"/>
  <c r="DU50" i="38"/>
  <c r="CN50" i="38" a="1"/>
  <c r="CN50" i="38" s="1"/>
  <c r="DQ50" i="38"/>
  <c r="DS50" i="38" a="1"/>
  <c r="DS50" i="38" s="1"/>
  <c r="DS40" i="38" a="1"/>
  <c r="DS40" i="38" s="1"/>
  <c r="DT40" i="38" a="1"/>
  <c r="DT40" i="38" s="1"/>
  <c r="DU40" i="38"/>
  <c r="CN40" i="38" a="1"/>
  <c r="CN40" i="38" s="1"/>
  <c r="DQ40" i="38"/>
  <c r="EA28" i="38" l="1"/>
  <c r="CP28" i="38" a="1"/>
  <c r="CP28" i="38" s="1"/>
  <c r="DY28" i="38" a="1"/>
  <c r="DY28" i="38" s="1"/>
  <c r="DZ28" i="38" a="1"/>
  <c r="DZ28" i="38" s="1"/>
  <c r="DW28" i="38"/>
  <c r="DU28" i="38"/>
  <c r="CN28" i="38" a="1"/>
  <c r="CN28" i="38" s="1"/>
  <c r="DS28" i="38" a="1"/>
  <c r="DS28" i="38" s="1"/>
  <c r="DQ28" i="38"/>
  <c r="DT28" i="38" a="1"/>
  <c r="DT28" i="38" s="1"/>
  <c r="BU37" i="38"/>
  <c r="CB37" i="38" a="1"/>
  <c r="CB37" i="38" s="1"/>
  <c r="CC37" i="38" a="1"/>
  <c r="CC37" i="38" s="1"/>
  <c r="DY25" i="38" a="1"/>
  <c r="DY25" i="38" s="1"/>
  <c r="DZ25" i="38" a="1"/>
  <c r="DZ25" i="38" s="1"/>
  <c r="EA25" i="38"/>
  <c r="DW25" i="38"/>
  <c r="CP25" i="38" a="1"/>
  <c r="CP25" i="38" s="1"/>
  <c r="DS25" i="38" a="1"/>
  <c r="DS25" i="38" s="1"/>
  <c r="DT25" i="38" a="1"/>
  <c r="DT25" i="38" s="1"/>
  <c r="DU25" i="38"/>
  <c r="CN25" i="38" a="1"/>
  <c r="CN25" i="38" s="1"/>
  <c r="DQ25" i="38"/>
  <c r="EA37" i="38" l="1"/>
  <c r="DW37" i="38"/>
  <c r="CP37" i="38" a="1"/>
  <c r="CP37" i="38" s="1"/>
  <c r="DY37" i="38" a="1"/>
  <c r="DY37" i="38" s="1"/>
  <c r="DZ37" i="38" a="1"/>
  <c r="DZ37" i="38" s="1"/>
  <c r="DU37" i="38"/>
  <c r="CN37" i="38" a="1"/>
  <c r="CN37" i="38" s="1"/>
  <c r="DQ37" i="38"/>
  <c r="DS37" i="38" a="1"/>
  <c r="DS37" i="38" s="1"/>
  <c r="DT37" i="38" a="1"/>
  <c r="DT37" i="38" s="1"/>
  <c r="C70" i="196" l="1"/>
  <c r="J52" i="196"/>
  <c r="I52" i="196"/>
  <c r="J51" i="196"/>
  <c r="I51" i="196"/>
  <c r="J47" i="196"/>
  <c r="I47" i="196"/>
  <c r="J46" i="196"/>
  <c r="I46" i="196"/>
  <c r="J45" i="196"/>
  <c r="I45" i="196"/>
  <c r="J38" i="196"/>
  <c r="I38" i="196"/>
  <c r="J37" i="196"/>
  <c r="I37" i="196"/>
  <c r="H33" i="196"/>
  <c r="J33" i="196" s="1"/>
  <c r="H32" i="196"/>
  <c r="I32" i="196" s="1"/>
  <c r="J31" i="196"/>
  <c r="I31" i="196"/>
  <c r="L29" i="196"/>
  <c r="I29" i="196"/>
  <c r="L28" i="196"/>
  <c r="I28" i="196"/>
  <c r="L27" i="196"/>
  <c r="I27" i="196"/>
  <c r="L26" i="196"/>
  <c r="I26" i="196"/>
  <c r="R23" i="196"/>
  <c r="T22" i="196"/>
  <c r="G22" i="196"/>
  <c r="U22" i="196" s="1" a="1"/>
  <c r="U22" i="196" s="1"/>
  <c r="A22" i="196"/>
  <c r="T21" i="196"/>
  <c r="G21" i="196"/>
  <c r="U21" i="196" s="1" a="1"/>
  <c r="U21" i="196" s="1"/>
  <c r="A21" i="196"/>
  <c r="T20" i="196"/>
  <c r="G20" i="196"/>
  <c r="U20" i="196" s="1" a="1"/>
  <c r="U20" i="196" s="1"/>
  <c r="A20" i="196"/>
  <c r="T19" i="196"/>
  <c r="G19" i="196"/>
  <c r="U19" i="196" s="1" a="1"/>
  <c r="U19" i="196" s="1"/>
  <c r="A19" i="196"/>
  <c r="T18" i="196"/>
  <c r="G18" i="196"/>
  <c r="U18" i="196" s="1" a="1"/>
  <c r="U18" i="196" s="1"/>
  <c r="A18" i="196"/>
  <c r="T17" i="196"/>
  <c r="G17" i="196"/>
  <c r="U17" i="196" s="1" a="1"/>
  <c r="U17" i="196" s="1"/>
  <c r="A17" i="196"/>
  <c r="T16" i="196"/>
  <c r="G16" i="196"/>
  <c r="U16" i="196" s="1" a="1"/>
  <c r="U16" i="196" s="1"/>
  <c r="V16" i="196" s="1"/>
  <c r="T15" i="196"/>
  <c r="G15" i="196"/>
  <c r="U15" i="196" s="1" a="1"/>
  <c r="U15" i="196" s="1"/>
  <c r="A15" i="196"/>
  <c r="T14" i="196"/>
  <c r="G14" i="196"/>
  <c r="U14" i="196" s="1" a="1"/>
  <c r="U14" i="196" s="1"/>
  <c r="A14" i="196"/>
  <c r="T13" i="196"/>
  <c r="G13" i="196"/>
  <c r="U13" i="196" s="1" a="1"/>
  <c r="U13" i="196" s="1"/>
  <c r="V13" i="196" s="1"/>
  <c r="A13" i="196"/>
  <c r="T12" i="196"/>
  <c r="G12" i="196"/>
  <c r="U12" i="196" s="1" a="1"/>
  <c r="U12" i="196" s="1"/>
  <c r="A12" i="196"/>
  <c r="T11" i="196"/>
  <c r="G11" i="196"/>
  <c r="U11" i="196" s="1" a="1"/>
  <c r="U11" i="196" s="1"/>
  <c r="A11" i="196"/>
  <c r="T10" i="196"/>
  <c r="G10" i="196"/>
  <c r="U10" i="196" s="1" a="1"/>
  <c r="U10" i="196" s="1"/>
  <c r="A10" i="196"/>
  <c r="T9" i="196"/>
  <c r="G9" i="196"/>
  <c r="U9" i="196" s="1" a="1"/>
  <c r="U9" i="196" s="1"/>
  <c r="A9" i="196"/>
  <c r="Y8" i="196"/>
  <c r="G8" i="196"/>
  <c r="U8" i="196" s="1" a="1"/>
  <c r="U8" i="196" s="1"/>
  <c r="V8" i="196" s="1"/>
  <c r="V7" i="196"/>
  <c r="X7" i="196" s="1"/>
  <c r="G7" i="196"/>
  <c r="Y6" i="196"/>
  <c r="V6" i="196"/>
  <c r="U2" i="196" a="1"/>
  <c r="I50" i="196" l="1"/>
  <c r="V14" i="196"/>
  <c r="J50" i="196"/>
  <c r="V22" i="196"/>
  <c r="X22" i="196" s="1"/>
  <c r="I36" i="196"/>
  <c r="U36" i="195" a="1"/>
  <c r="U36" i="195" s="1"/>
  <c r="V36" i="195" s="1"/>
  <c r="U37" i="195" a="1"/>
  <c r="U37" i="195" s="1"/>
  <c r="V37" i="195" s="1"/>
  <c r="U38" i="195" a="1"/>
  <c r="U38" i="195" s="1"/>
  <c r="V38" i="195" s="1"/>
  <c r="U39" i="195" a="1"/>
  <c r="U39" i="195" s="1"/>
  <c r="V39" i="195" s="1"/>
  <c r="U34" i="195" a="1"/>
  <c r="U34" i="195" s="1"/>
  <c r="V34" i="195" s="1"/>
  <c r="U35" i="195" a="1"/>
  <c r="U35" i="195" s="1"/>
  <c r="V35" i="195" s="1"/>
  <c r="U23" i="195" a="1"/>
  <c r="U23" i="195" s="1"/>
  <c r="V23" i="195" s="1"/>
  <c r="U27" i="195" a="1"/>
  <c r="U27" i="195" s="1"/>
  <c r="V27" i="195" s="1"/>
  <c r="U24" i="195" a="1"/>
  <c r="U24" i="195" s="1"/>
  <c r="V24" i="195" s="1"/>
  <c r="U25" i="195" a="1"/>
  <c r="U25" i="195" s="1"/>
  <c r="V25" i="195" s="1"/>
  <c r="U26" i="195" a="1"/>
  <c r="U26" i="195" s="1"/>
  <c r="V26" i="195" s="1"/>
  <c r="J32" i="196"/>
  <c r="J34" i="196" s="1"/>
  <c r="J35" i="196" s="1"/>
  <c r="N3" i="196"/>
  <c r="V10" i="196"/>
  <c r="I48" i="196"/>
  <c r="I49" i="196" s="1"/>
  <c r="J48" i="196"/>
  <c r="U20" i="195" a="1"/>
  <c r="U20" i="195" s="1"/>
  <c r="V20" i="195" s="1"/>
  <c r="U21" i="195" a="1"/>
  <c r="U21" i="195" s="1"/>
  <c r="V21" i="195" s="1"/>
  <c r="U22" i="195" a="1"/>
  <c r="U22" i="195" s="1"/>
  <c r="V22" i="195" s="1"/>
  <c r="U28" i="195" a="1"/>
  <c r="U28" i="195" s="1"/>
  <c r="V28" i="195" s="1"/>
  <c r="U16" i="195" a="1"/>
  <c r="U16" i="195" s="1"/>
  <c r="V16" i="195" s="1"/>
  <c r="U13" i="195" a="1"/>
  <c r="U13" i="195" s="1"/>
  <c r="V13" i="195" s="1"/>
  <c r="U17" i="195" a="1"/>
  <c r="U17" i="195" s="1"/>
  <c r="V17" i="195" s="1"/>
  <c r="U15" i="195" a="1"/>
  <c r="U15" i="195" s="1"/>
  <c r="V15" i="195" s="1"/>
  <c r="U14" i="195" a="1"/>
  <c r="U14" i="195" s="1"/>
  <c r="V14" i="195" s="1"/>
  <c r="U19" i="195" a="1"/>
  <c r="U19" i="195" s="1"/>
  <c r="V19" i="195" s="1"/>
  <c r="U18" i="195" a="1"/>
  <c r="U18" i="195" s="1"/>
  <c r="V18" i="195" s="1"/>
  <c r="U29" i="195" a="1"/>
  <c r="U29" i="195" s="1"/>
  <c r="V29" i="195" s="1"/>
  <c r="V17" i="196"/>
  <c r="X17" i="196" s="1"/>
  <c r="V19" i="196"/>
  <c r="X19" i="196" s="1"/>
  <c r="V12" i="196"/>
  <c r="W12" i="196" s="1"/>
  <c r="V15" i="196"/>
  <c r="X15" i="196" s="1"/>
  <c r="V18" i="196"/>
  <c r="W18" i="196" s="1"/>
  <c r="V20" i="196"/>
  <c r="X20" i="196" s="1"/>
  <c r="V9" i="196"/>
  <c r="W9" i="196" s="1"/>
  <c r="V11" i="196"/>
  <c r="W11" i="196" s="1"/>
  <c r="V21" i="196"/>
  <c r="W21" i="196" s="1"/>
  <c r="U2" i="196"/>
  <c r="W10" i="196"/>
  <c r="X10" i="196"/>
  <c r="X14" i="196"/>
  <c r="W14" i="196"/>
  <c r="W22" i="196"/>
  <c r="X13" i="196"/>
  <c r="W13" i="196"/>
  <c r="X16" i="196"/>
  <c r="W16" i="196"/>
  <c r="I33" i="196"/>
  <c r="I34" i="196" s="1"/>
  <c r="W7" i="196"/>
  <c r="O3" i="196"/>
  <c r="Y7" i="196" s="1"/>
  <c r="W15" i="196" l="1"/>
  <c r="W19" i="196"/>
  <c r="Y19" i="196" s="1"/>
  <c r="X12" i="196"/>
  <c r="Y12" i="196" s="1"/>
  <c r="J49" i="196"/>
  <c r="W17" i="196"/>
  <c r="Y17" i="196" s="1"/>
  <c r="X34" i="195"/>
  <c r="W34" i="195"/>
  <c r="W39" i="195"/>
  <c r="X39" i="195"/>
  <c r="X38" i="195"/>
  <c r="W38" i="195"/>
  <c r="X37" i="195"/>
  <c r="W37" i="195"/>
  <c r="W35" i="195"/>
  <c r="X35" i="195"/>
  <c r="W36" i="195"/>
  <c r="X36" i="195"/>
  <c r="W26" i="195"/>
  <c r="X26" i="195"/>
  <c r="W25" i="195"/>
  <c r="X25" i="195"/>
  <c r="W24" i="195"/>
  <c r="X24" i="195"/>
  <c r="X27" i="195"/>
  <c r="W27" i="195"/>
  <c r="X23" i="195"/>
  <c r="W23" i="195"/>
  <c r="W28" i="195"/>
  <c r="X28" i="195"/>
  <c r="X22" i="195"/>
  <c r="W22" i="195"/>
  <c r="X21" i="195"/>
  <c r="W21" i="195"/>
  <c r="X20" i="195"/>
  <c r="W20" i="195"/>
  <c r="X14" i="195"/>
  <c r="W14" i="195"/>
  <c r="W15" i="195"/>
  <c r="X15" i="195"/>
  <c r="W17" i="195"/>
  <c r="X17" i="195"/>
  <c r="X13" i="195"/>
  <c r="W13" i="195"/>
  <c r="W16" i="195"/>
  <c r="X16" i="195"/>
  <c r="W29" i="195"/>
  <c r="X29" i="195"/>
  <c r="X18" i="195"/>
  <c r="W18" i="195"/>
  <c r="X19" i="195"/>
  <c r="W19" i="195"/>
  <c r="W20" i="196"/>
  <c r="Y20" i="196" s="1"/>
  <c r="X18" i="196"/>
  <c r="Y18" i="196" s="1"/>
  <c r="X11" i="196"/>
  <c r="X9" i="196"/>
  <c r="Y9" i="196" s="1"/>
  <c r="Y22" i="196"/>
  <c r="X21" i="196"/>
  <c r="Y21" i="196" s="1"/>
  <c r="I35" i="196"/>
  <c r="Y16" i="196"/>
  <c r="Y14" i="196"/>
  <c r="Y13" i="196"/>
  <c r="Y10" i="196"/>
  <c r="Y39" i="195" l="1"/>
  <c r="W23" i="196"/>
  <c r="Y15" i="196"/>
  <c r="X23" i="196"/>
  <c r="Y16" i="195"/>
  <c r="Y25" i="195"/>
  <c r="Y36" i="195"/>
  <c r="Y35" i="195"/>
  <c r="Y34" i="195"/>
  <c r="Y37" i="195"/>
  <c r="Y38" i="195"/>
  <c r="Y28" i="195"/>
  <c r="Y26" i="195"/>
  <c r="Y24" i="195"/>
  <c r="Y27" i="195"/>
  <c r="Y23" i="195"/>
  <c r="Y11" i="196"/>
  <c r="Y22" i="195"/>
  <c r="Y21" i="195"/>
  <c r="Y20" i="195"/>
  <c r="Y29" i="195"/>
  <c r="Y17" i="195"/>
  <c r="Y15" i="195"/>
  <c r="Y13" i="195"/>
  <c r="Y14" i="195"/>
  <c r="Y18" i="195"/>
  <c r="Y19" i="195"/>
  <c r="Y23" i="196" l="1"/>
  <c r="C3" i="196" s="1"/>
  <c r="E9" i="43" s="1"/>
  <c r="U9" i="43" s="1"/>
  <c r="I9" i="43"/>
  <c r="C93" i="195"/>
  <c r="J75" i="195"/>
  <c r="I75" i="195"/>
  <c r="J74" i="195"/>
  <c r="I74" i="195"/>
  <c r="J70" i="195"/>
  <c r="I70" i="195"/>
  <c r="J69" i="195"/>
  <c r="I69" i="195"/>
  <c r="J68" i="195"/>
  <c r="I68" i="195"/>
  <c r="J61" i="195"/>
  <c r="I61" i="195"/>
  <c r="J60" i="195"/>
  <c r="I60" i="195"/>
  <c r="H56" i="195"/>
  <c r="I56" i="195" s="1"/>
  <c r="H55" i="195"/>
  <c r="J55" i="195" s="1"/>
  <c r="J54" i="195"/>
  <c r="I54" i="195"/>
  <c r="L52" i="195"/>
  <c r="I52" i="195"/>
  <c r="L51" i="195"/>
  <c r="I51" i="195"/>
  <c r="L50" i="195"/>
  <c r="I50" i="195"/>
  <c r="L49" i="195"/>
  <c r="I49" i="195"/>
  <c r="R46" i="195"/>
  <c r="G45" i="195"/>
  <c r="U45" i="195" s="1" a="1"/>
  <c r="U45" i="195" s="1"/>
  <c r="A45" i="195"/>
  <c r="G44" i="195"/>
  <c r="U44" i="195" s="1" a="1"/>
  <c r="U44" i="195" s="1"/>
  <c r="A44" i="195"/>
  <c r="G43" i="195"/>
  <c r="U43" i="195" s="1" a="1"/>
  <c r="U43" i="195" s="1"/>
  <c r="A43" i="195"/>
  <c r="G42" i="195"/>
  <c r="U42" i="195" s="1" a="1"/>
  <c r="U42" i="195" s="1"/>
  <c r="A42" i="195"/>
  <c r="G41" i="195"/>
  <c r="U41" i="195" s="1" a="1"/>
  <c r="U41" i="195" s="1"/>
  <c r="A41" i="195"/>
  <c r="G40" i="195"/>
  <c r="U40" i="195" s="1" a="1"/>
  <c r="U40" i="195" s="1"/>
  <c r="A40" i="195"/>
  <c r="G33" i="195"/>
  <c r="U33" i="195" s="1" a="1"/>
  <c r="U33" i="195" s="1"/>
  <c r="G32" i="195"/>
  <c r="U32" i="195" s="1" a="1"/>
  <c r="U32" i="195" s="1"/>
  <c r="A32" i="195"/>
  <c r="G31" i="195"/>
  <c r="U31" i="195" s="1" a="1"/>
  <c r="U31" i="195" s="1"/>
  <c r="A31" i="195"/>
  <c r="G30" i="195"/>
  <c r="U30" i="195" s="1" a="1"/>
  <c r="U30" i="195" s="1"/>
  <c r="A30" i="195"/>
  <c r="T12" i="195"/>
  <c r="G12" i="195"/>
  <c r="U12" i="195" s="1" a="1"/>
  <c r="U12" i="195" s="1"/>
  <c r="A12" i="195"/>
  <c r="G11" i="195"/>
  <c r="U11" i="195" s="1" a="1"/>
  <c r="U11" i="195" s="1"/>
  <c r="A11" i="195"/>
  <c r="G10" i="195"/>
  <c r="U10" i="195" s="1" a="1"/>
  <c r="U10" i="195" s="1"/>
  <c r="A10" i="195"/>
  <c r="G9" i="195"/>
  <c r="U9" i="195" s="1" a="1"/>
  <c r="U9" i="195" s="1"/>
  <c r="A9" i="195"/>
  <c r="Y8" i="195"/>
  <c r="G8" i="195"/>
  <c r="U8" i="195" s="1" a="1"/>
  <c r="U8" i="195" s="1"/>
  <c r="V8" i="195" s="1"/>
  <c r="V7" i="195"/>
  <c r="X7" i="195" s="1"/>
  <c r="G7" i="195"/>
  <c r="Y6" i="195"/>
  <c r="V6" i="195"/>
  <c r="U2" i="195" a="1"/>
  <c r="F44" i="38" l="1"/>
  <c r="J56" i="195"/>
  <c r="J57" i="195" s="1"/>
  <c r="J58" i="195" s="1"/>
  <c r="V32" i="195"/>
  <c r="X32" i="195" s="1"/>
  <c r="V45" i="195"/>
  <c r="X45" i="195" s="1"/>
  <c r="AT48" i="38" a="1"/>
  <c r="AT48" i="38" s="1"/>
  <c r="V12" i="195"/>
  <c r="W12" i="195" s="1"/>
  <c r="V33" i="195"/>
  <c r="X33" i="195" s="1"/>
  <c r="V31" i="195"/>
  <c r="X31" i="195" s="1"/>
  <c r="V44" i="195"/>
  <c r="X44" i="195" s="1"/>
  <c r="I73" i="195"/>
  <c r="V9" i="195"/>
  <c r="W9" i="195" s="1"/>
  <c r="V40" i="195"/>
  <c r="X40" i="195" s="1"/>
  <c r="J71" i="195"/>
  <c r="I55" i="195"/>
  <c r="I57" i="195" s="1"/>
  <c r="O3" i="195"/>
  <c r="Y7" i="195" s="1"/>
  <c r="I71" i="195"/>
  <c r="I59" i="195"/>
  <c r="J73" i="195"/>
  <c r="V30" i="195"/>
  <c r="W30" i="195" s="1"/>
  <c r="V42" i="195"/>
  <c r="W42" i="195" s="1"/>
  <c r="V10" i="195"/>
  <c r="W10" i="195" s="1"/>
  <c r="V41" i="195"/>
  <c r="W41" i="195" s="1"/>
  <c r="V43" i="195"/>
  <c r="X43" i="195" s="1"/>
  <c r="V11" i="195"/>
  <c r="W11" i="195" s="1"/>
  <c r="U2" i="195"/>
  <c r="N3" i="195"/>
  <c r="W7" i="195"/>
  <c r="W32" i="195" l="1"/>
  <c r="W45" i="195"/>
  <c r="X9" i="195"/>
  <c r="Y9" i="195" s="1"/>
  <c r="W31" i="195"/>
  <c r="Y31" i="195" s="1"/>
  <c r="W44" i="195"/>
  <c r="Y44" i="195" s="1"/>
  <c r="W33" i="195"/>
  <c r="Y33" i="195" s="1"/>
  <c r="X12" i="195"/>
  <c r="Y12" i="195" s="1"/>
  <c r="I72" i="195"/>
  <c r="W40" i="195"/>
  <c r="Y40" i="195" s="1"/>
  <c r="J72" i="195"/>
  <c r="I58" i="195"/>
  <c r="X41" i="195"/>
  <c r="Y41" i="195" s="1"/>
  <c r="X11" i="195"/>
  <c r="Y11" i="195" s="1"/>
  <c r="X10" i="195"/>
  <c r="Y10" i="195" s="1"/>
  <c r="X42" i="195"/>
  <c r="Y42" i="195" s="1"/>
  <c r="Y45" i="195"/>
  <c r="W43" i="195"/>
  <c r="Y43" i="195" s="1"/>
  <c r="X30" i="195"/>
  <c r="Y30" i="195" s="1"/>
  <c r="Y32" i="195"/>
  <c r="W46" i="195" l="1"/>
  <c r="X46" i="195"/>
  <c r="Y46" i="195"/>
  <c r="C3" i="195" s="1"/>
  <c r="E8" i="43" s="1"/>
  <c r="I8" i="43" l="1"/>
  <c r="U8" i="43"/>
  <c r="AT39" i="38" l="1" a="1"/>
  <c r="AT39" i="38" s="1"/>
  <c r="A18" i="194" l="1"/>
  <c r="A19" i="194"/>
  <c r="A20" i="194"/>
  <c r="G18" i="194"/>
  <c r="G19" i="194"/>
  <c r="A21" i="194"/>
  <c r="A22" i="194"/>
  <c r="A23" i="194"/>
  <c r="G21" i="194"/>
  <c r="G22" i="194"/>
  <c r="G23" i="194"/>
  <c r="A13" i="194"/>
  <c r="A14" i="194"/>
  <c r="A15" i="194"/>
  <c r="A16" i="194"/>
  <c r="G13" i="194"/>
  <c r="G14" i="194"/>
  <c r="G15" i="194"/>
  <c r="G16" i="194"/>
  <c r="A17" i="194"/>
  <c r="A24" i="194"/>
  <c r="G17" i="194"/>
  <c r="G24" i="194"/>
  <c r="AV7" i="48" l="1"/>
  <c r="AN5" i="47"/>
  <c r="AJ5" i="47"/>
  <c r="AF5" i="47"/>
  <c r="O5" i="48"/>
  <c r="N5" i="48"/>
  <c r="M5" i="48"/>
  <c r="K5" i="48"/>
  <c r="H5" i="48"/>
  <c r="G5" i="48"/>
  <c r="F5" i="48"/>
  <c r="E5" i="48"/>
  <c r="D5" i="48"/>
  <c r="C5" i="48"/>
  <c r="AD5" i="43"/>
  <c r="AC5" i="43"/>
  <c r="AB5" i="43"/>
  <c r="AA5" i="43"/>
  <c r="Z5" i="43"/>
  <c r="Y5" i="43"/>
  <c r="X5" i="43"/>
  <c r="W5" i="43"/>
  <c r="I5" i="43"/>
  <c r="E5" i="43"/>
  <c r="AX5" i="44"/>
  <c r="AW5" i="44"/>
  <c r="AV5" i="44"/>
  <c r="AU5" i="44"/>
  <c r="AT5" i="44"/>
  <c r="AO5" i="44"/>
  <c r="AM5" i="44"/>
  <c r="Q5" i="44"/>
  <c r="O5" i="44"/>
  <c r="BR5" i="38"/>
  <c r="BQ5" i="38"/>
  <c r="BO5" i="38"/>
  <c r="BM5" i="38"/>
  <c r="BK5" i="38"/>
  <c r="BI5" i="38"/>
  <c r="BH5" i="38"/>
  <c r="BF5" i="38"/>
  <c r="BD5" i="38"/>
  <c r="BB5" i="38"/>
  <c r="BA5" i="38"/>
  <c r="AZ5" i="38"/>
  <c r="AX5" i="38"/>
  <c r="AW5" i="38"/>
  <c r="AP5" i="38"/>
  <c r="AO5" i="38"/>
  <c r="AL5" i="38"/>
  <c r="AK5" i="38"/>
  <c r="AJ5" i="38"/>
  <c r="AI5" i="38"/>
  <c r="AF5" i="38"/>
  <c r="AA5" i="38"/>
  <c r="V5" i="38"/>
  <c r="R5" i="38"/>
  <c r="J5" i="38"/>
  <c r="C81" i="194"/>
  <c r="J63" i="194"/>
  <c r="I63" i="194"/>
  <c r="J62" i="194"/>
  <c r="I62" i="194"/>
  <c r="J58" i="194"/>
  <c r="I58" i="194"/>
  <c r="J57" i="194"/>
  <c r="I57" i="194"/>
  <c r="J56" i="194"/>
  <c r="I56" i="194"/>
  <c r="J49" i="194"/>
  <c r="I49" i="194"/>
  <c r="J48" i="194"/>
  <c r="I48" i="194"/>
  <c r="H44" i="194"/>
  <c r="J44" i="194" s="1"/>
  <c r="H43" i="194"/>
  <c r="J43" i="194" s="1"/>
  <c r="J42" i="194"/>
  <c r="I42" i="194"/>
  <c r="L40" i="194"/>
  <c r="I40" i="194"/>
  <c r="L39" i="194"/>
  <c r="I39" i="194"/>
  <c r="L38" i="194"/>
  <c r="I38" i="194"/>
  <c r="L37" i="194"/>
  <c r="I37" i="194"/>
  <c r="R34" i="194"/>
  <c r="G33" i="194"/>
  <c r="U33" i="194" s="1" a="1"/>
  <c r="U33" i="194" s="1"/>
  <c r="A33" i="194"/>
  <c r="G32" i="194"/>
  <c r="A32" i="194"/>
  <c r="G31" i="194"/>
  <c r="U31" i="194" s="1" a="1"/>
  <c r="U31" i="194" s="1"/>
  <c r="A31" i="194"/>
  <c r="G30" i="194"/>
  <c r="U30" i="194" s="1" a="1"/>
  <c r="U30" i="194" s="1"/>
  <c r="A30" i="194"/>
  <c r="G29" i="194"/>
  <c r="A29" i="194"/>
  <c r="G28" i="194"/>
  <c r="U28" i="194" s="1" a="1"/>
  <c r="U28" i="194" s="1"/>
  <c r="A28" i="194"/>
  <c r="G27" i="194"/>
  <c r="G26" i="194"/>
  <c r="U26" i="194" s="1" a="1"/>
  <c r="U26" i="194" s="1"/>
  <c r="A26" i="194"/>
  <c r="G25" i="194"/>
  <c r="U25" i="194" s="1" a="1"/>
  <c r="U25" i="194" s="1"/>
  <c r="A25" i="194"/>
  <c r="G12" i="194"/>
  <c r="U12" i="194" s="1" a="1"/>
  <c r="U12" i="194" s="1"/>
  <c r="A12" i="194"/>
  <c r="G11" i="194"/>
  <c r="U11" i="194" s="1" a="1"/>
  <c r="U11" i="194" s="1"/>
  <c r="A11" i="194"/>
  <c r="U10" i="194" a="1"/>
  <c r="U10" i="194" s="1"/>
  <c r="G10" i="194"/>
  <c r="A10" i="194"/>
  <c r="G9" i="194"/>
  <c r="U9" i="194" s="1" a="1"/>
  <c r="U9" i="194" s="1"/>
  <c r="A9" i="194"/>
  <c r="Y8" i="194"/>
  <c r="G8" i="194"/>
  <c r="U8" i="194" s="1" a="1"/>
  <c r="U8" i="194" s="1"/>
  <c r="V8" i="194" s="1"/>
  <c r="V7" i="194"/>
  <c r="X7" i="194" s="1"/>
  <c r="G7" i="194"/>
  <c r="Y6" i="194"/>
  <c r="V6" i="194"/>
  <c r="U2" i="194" a="1"/>
  <c r="V9" i="194" l="1"/>
  <c r="W9" i="194" s="1"/>
  <c r="F31" i="38"/>
  <c r="F35" i="38"/>
  <c r="U19" i="194" a="1"/>
  <c r="U19" i="194" s="1"/>
  <c r="V19" i="194" s="1"/>
  <c r="U20" i="194" a="1"/>
  <c r="U20" i="194" s="1"/>
  <c r="V20" i="194" s="1"/>
  <c r="U18" i="194" a="1"/>
  <c r="U18" i="194" s="1"/>
  <c r="V18" i="194" s="1"/>
  <c r="U23" i="194" a="1"/>
  <c r="U23" i="194" s="1"/>
  <c r="V23" i="194" s="1"/>
  <c r="U21" i="194" a="1"/>
  <c r="U21" i="194" s="1"/>
  <c r="V21" i="194" s="1"/>
  <c r="U22" i="194" a="1"/>
  <c r="U22" i="194" s="1"/>
  <c r="V22" i="194" s="1"/>
  <c r="V25" i="194"/>
  <c r="X25" i="194" s="1"/>
  <c r="U13" i="194" a="1"/>
  <c r="U13" i="194" s="1"/>
  <c r="V13" i="194" s="1"/>
  <c r="U14" i="194" a="1"/>
  <c r="U14" i="194" s="1"/>
  <c r="V14" i="194" s="1"/>
  <c r="U15" i="194" a="1"/>
  <c r="U15" i="194" s="1"/>
  <c r="V15" i="194" s="1"/>
  <c r="U16" i="194" a="1"/>
  <c r="U16" i="194" s="1"/>
  <c r="V16" i="194" s="1"/>
  <c r="U17" i="194" a="1"/>
  <c r="U17" i="194" s="1"/>
  <c r="V17" i="194" s="1"/>
  <c r="U24" i="194" a="1"/>
  <c r="U24" i="194" s="1"/>
  <c r="V24" i="194" s="1"/>
  <c r="I61" i="194"/>
  <c r="V26" i="194"/>
  <c r="X26" i="194" s="1"/>
  <c r="J59" i="194"/>
  <c r="V11" i="194"/>
  <c r="X11" i="194" s="1"/>
  <c r="V28" i="194"/>
  <c r="X28" i="194" s="1"/>
  <c r="V33" i="194"/>
  <c r="X33" i="194" s="1"/>
  <c r="J61" i="194"/>
  <c r="I47" i="194"/>
  <c r="N3" i="194"/>
  <c r="U29" i="194" a="1"/>
  <c r="U29" i="194" s="1"/>
  <c r="V29" i="194" s="1"/>
  <c r="W29" i="194" s="1"/>
  <c r="U27" i="194" a="1"/>
  <c r="U27" i="194" s="1"/>
  <c r="V27" i="194" s="1"/>
  <c r="X27" i="194" s="1"/>
  <c r="U32" i="194" a="1"/>
  <c r="U32" i="194" s="1"/>
  <c r="V32" i="194" s="1"/>
  <c r="X32" i="194" s="1"/>
  <c r="U2" i="194"/>
  <c r="I59" i="194"/>
  <c r="I43" i="194"/>
  <c r="V30" i="194"/>
  <c r="X30" i="194" s="1"/>
  <c r="V12" i="194"/>
  <c r="X12" i="194" s="1"/>
  <c r="V31" i="194"/>
  <c r="W31" i="194" s="1"/>
  <c r="V10" i="194"/>
  <c r="W10" i="194" s="1"/>
  <c r="J45" i="194"/>
  <c r="J46" i="194" s="1"/>
  <c r="I44" i="194"/>
  <c r="W7" i="194"/>
  <c r="O3" i="194"/>
  <c r="Y7" i="194" s="1"/>
  <c r="X9" i="194" l="1"/>
  <c r="Y9" i="194" s="1"/>
  <c r="W25" i="194"/>
  <c r="Y25" i="194" s="1"/>
  <c r="X18" i="194"/>
  <c r="W18" i="194"/>
  <c r="W20" i="194"/>
  <c r="X20" i="194"/>
  <c r="X19" i="194"/>
  <c r="W19" i="194"/>
  <c r="X22" i="194"/>
  <c r="W22" i="194"/>
  <c r="X21" i="194"/>
  <c r="W21" i="194"/>
  <c r="X23" i="194"/>
  <c r="W23" i="194"/>
  <c r="X16" i="194"/>
  <c r="W16" i="194"/>
  <c r="W15" i="194"/>
  <c r="X15" i="194"/>
  <c r="W14" i="194"/>
  <c r="X14" i="194"/>
  <c r="W13" i="194"/>
  <c r="X13" i="194"/>
  <c r="X24" i="194"/>
  <c r="W24" i="194"/>
  <c r="W17" i="194"/>
  <c r="X17" i="194"/>
  <c r="W11" i="194"/>
  <c r="Y11" i="194" s="1"/>
  <c r="I60" i="194"/>
  <c r="I45" i="194"/>
  <c r="I46" i="194" s="1"/>
  <c r="W33" i="194"/>
  <c r="Y33" i="194" s="1"/>
  <c r="W30" i="194"/>
  <c r="Y30" i="194" s="1"/>
  <c r="W26" i="194"/>
  <c r="Y26" i="194" s="1"/>
  <c r="J60" i="194"/>
  <c r="W28" i="194"/>
  <c r="Y28" i="194" s="1"/>
  <c r="W27" i="194"/>
  <c r="Y27" i="194" s="1"/>
  <c r="X10" i="194"/>
  <c r="Y10" i="194" s="1"/>
  <c r="W12" i="194"/>
  <c r="Y12" i="194" s="1"/>
  <c r="X29" i="194"/>
  <c r="Y29" i="194" s="1"/>
  <c r="X31" i="194"/>
  <c r="Y31" i="194" s="1"/>
  <c r="W32" i="194"/>
  <c r="Y32" i="194" s="1"/>
  <c r="Y22" i="194" l="1"/>
  <c r="Y18" i="194"/>
  <c r="Y20" i="194"/>
  <c r="Y19" i="194"/>
  <c r="Y21" i="194"/>
  <c r="Y24" i="194"/>
  <c r="Y23" i="194"/>
  <c r="Y17" i="194"/>
  <c r="Y16" i="194"/>
  <c r="Y15" i="194"/>
  <c r="Y14" i="194"/>
  <c r="Y13" i="194"/>
  <c r="W34" i="194"/>
  <c r="X34" i="194"/>
  <c r="Y34" i="194" l="1"/>
  <c r="C3" i="194" s="1"/>
  <c r="E7" i="43" s="1"/>
  <c r="U7" i="43" l="1"/>
  <c r="I7" i="43"/>
  <c r="P6" i="50" a="1"/>
  <c r="P6" i="50" s="1"/>
  <c r="A6" i="50"/>
  <c r="B7" i="47"/>
  <c r="B8" i="47"/>
  <c r="B9" i="47"/>
  <c r="B10" i="47"/>
  <c r="B11" i="47"/>
  <c r="B12" i="47"/>
  <c r="B13" i="47"/>
  <c r="B14" i="47"/>
  <c r="B15" i="47"/>
  <c r="B16" i="47"/>
  <c r="B17" i="47"/>
  <c r="B18" i="47"/>
  <c r="B19" i="47"/>
  <c r="B20" i="47"/>
  <c r="B21" i="47"/>
  <c r="B22" i="47"/>
  <c r="B23" i="47"/>
  <c r="B24" i="47"/>
  <c r="B25" i="47"/>
  <c r="B26" i="47"/>
  <c r="S7" i="47"/>
  <c r="S8" i="47"/>
  <c r="S9" i="47"/>
  <c r="AN9" i="47" s="1"/>
  <c r="AO9" i="47" s="1"/>
  <c r="S10" i="47"/>
  <c r="AQ10" i="47" s="1"/>
  <c r="S11" i="47"/>
  <c r="AN11" i="47" s="1"/>
  <c r="AO11" i="47" s="1"/>
  <c r="S12" i="47"/>
  <c r="AQ12" i="47" s="1"/>
  <c r="S13" i="47"/>
  <c r="AN13" i="47" s="1"/>
  <c r="AO13" i="47" s="1"/>
  <c r="S14" i="47"/>
  <c r="AN14" i="47" s="1"/>
  <c r="AO14" i="47" s="1"/>
  <c r="S15" i="47"/>
  <c r="AQ15" i="47" s="1"/>
  <c r="S16" i="47"/>
  <c r="AQ16" i="47" s="1"/>
  <c r="S17" i="47"/>
  <c r="AN17" i="47" s="1"/>
  <c r="AO17" i="47" s="1"/>
  <c r="S18" i="47"/>
  <c r="AP18" i="47" s="1"/>
  <c r="S19" i="47"/>
  <c r="AN19" i="47" s="1"/>
  <c r="AO19" i="47" s="1"/>
  <c r="S20" i="47"/>
  <c r="AP20" i="47" s="1"/>
  <c r="S21" i="47"/>
  <c r="S22" i="47"/>
  <c r="AP22" i="47" s="1"/>
  <c r="S23" i="47"/>
  <c r="AP23" i="47" s="1"/>
  <c r="S24" i="47"/>
  <c r="AQ24" i="47" s="1"/>
  <c r="S25" i="47"/>
  <c r="AN25" i="47" s="1"/>
  <c r="AO25" i="47" s="1"/>
  <c r="S26" i="47"/>
  <c r="AP26" i="47" s="1"/>
  <c r="T7" i="47" a="1"/>
  <c r="T7" i="47" s="1"/>
  <c r="T8" i="47" a="1"/>
  <c r="T8" i="47" s="1"/>
  <c r="T9" i="47" a="1"/>
  <c r="T9" i="47" s="1"/>
  <c r="T10" i="47" a="1"/>
  <c r="T10" i="47" s="1"/>
  <c r="T11" i="47" a="1"/>
  <c r="T11" i="47" s="1"/>
  <c r="T12" i="47" a="1"/>
  <c r="T12" i="47" s="1"/>
  <c r="T13" i="47" a="1"/>
  <c r="T13" i="47" s="1"/>
  <c r="T14" i="47" a="1"/>
  <c r="T14" i="47" s="1"/>
  <c r="T15" i="47" a="1"/>
  <c r="T15" i="47" s="1"/>
  <c r="T16" i="47" a="1"/>
  <c r="T16" i="47" s="1"/>
  <c r="T17" i="47" a="1"/>
  <c r="T17" i="47" s="1"/>
  <c r="T18" i="47" a="1"/>
  <c r="T18" i="47" s="1"/>
  <c r="T19" i="47" a="1"/>
  <c r="T19" i="47" s="1"/>
  <c r="T20" i="47" a="1"/>
  <c r="T20" i="47" s="1"/>
  <c r="T21" i="47" a="1"/>
  <c r="T21" i="47" s="1"/>
  <c r="T22" i="47" a="1"/>
  <c r="T22" i="47" s="1"/>
  <c r="T23" i="47" a="1"/>
  <c r="T23" i="47" s="1"/>
  <c r="T24" i="47" a="1"/>
  <c r="T24" i="47" s="1"/>
  <c r="T25" i="47" a="1"/>
  <c r="T25" i="47" s="1"/>
  <c r="T26" i="47" a="1"/>
  <c r="T26" i="47" s="1"/>
  <c r="V7" i="47" a="1"/>
  <c r="V7" i="47" s="1"/>
  <c r="V8" i="47" a="1"/>
  <c r="V8" i="47" s="1"/>
  <c r="V9" i="47" a="1"/>
  <c r="V9" i="47" s="1"/>
  <c r="V10" i="47" a="1"/>
  <c r="V10" i="47" s="1"/>
  <c r="V11" i="47" a="1"/>
  <c r="V11" i="47" s="1"/>
  <c r="V12" i="47" a="1"/>
  <c r="V12" i="47" s="1"/>
  <c r="V13" i="47" a="1"/>
  <c r="V13" i="47" s="1"/>
  <c r="V14" i="47" a="1"/>
  <c r="V14" i="47" s="1"/>
  <c r="V15" i="47" a="1"/>
  <c r="V15" i="47" s="1"/>
  <c r="V16" i="47" a="1"/>
  <c r="V16" i="47" s="1"/>
  <c r="V17" i="47" a="1"/>
  <c r="V17" i="47" s="1"/>
  <c r="V18" i="47" a="1"/>
  <c r="V18" i="47" s="1"/>
  <c r="V19" i="47" a="1"/>
  <c r="V19" i="47" s="1"/>
  <c r="V20" i="47" a="1"/>
  <c r="V20" i="47" s="1"/>
  <c r="V21" i="47" a="1"/>
  <c r="V21" i="47" s="1"/>
  <c r="V22" i="47" a="1"/>
  <c r="V22" i="47" s="1"/>
  <c r="V23" i="47" a="1"/>
  <c r="V23" i="47" s="1"/>
  <c r="V24" i="47" a="1"/>
  <c r="V24" i="47" s="1"/>
  <c r="V25" i="47" a="1"/>
  <c r="V25" i="47" s="1"/>
  <c r="V26" i="47" a="1"/>
  <c r="V26" i="47" s="1"/>
  <c r="W7" i="47" a="1"/>
  <c r="W7" i="47" s="1"/>
  <c r="W8" i="47" a="1"/>
  <c r="W8" i="47" s="1"/>
  <c r="W9" i="47" a="1"/>
  <c r="W9" i="47" s="1"/>
  <c r="W10" i="47" a="1"/>
  <c r="W10" i="47" s="1"/>
  <c r="W11" i="47" a="1"/>
  <c r="W11" i="47" s="1"/>
  <c r="W12" i="47" a="1"/>
  <c r="W12" i="47" s="1"/>
  <c r="W13" i="47" a="1"/>
  <c r="W13" i="47" s="1"/>
  <c r="W14" i="47" a="1"/>
  <c r="W14" i="47" s="1"/>
  <c r="W15" i="47" a="1"/>
  <c r="W15" i="47" s="1"/>
  <c r="W16" i="47" a="1"/>
  <c r="W16" i="47" s="1"/>
  <c r="W17" i="47" a="1"/>
  <c r="W17" i="47" s="1"/>
  <c r="W18" i="47" a="1"/>
  <c r="W18" i="47" s="1"/>
  <c r="W19" i="47" a="1"/>
  <c r="W19" i="47" s="1"/>
  <c r="W20" i="47" a="1"/>
  <c r="W20" i="47" s="1"/>
  <c r="W21" i="47" a="1"/>
  <c r="W21" i="47" s="1"/>
  <c r="W22" i="47" a="1"/>
  <c r="W22" i="47" s="1"/>
  <c r="W23" i="47" a="1"/>
  <c r="W23" i="47" s="1"/>
  <c r="W24" i="47" a="1"/>
  <c r="W24" i="47" s="1"/>
  <c r="W25" i="47" a="1"/>
  <c r="W25" i="47" s="1"/>
  <c r="W26" i="47" a="1"/>
  <c r="W26" i="47" s="1"/>
  <c r="X7" i="47" a="1"/>
  <c r="X7" i="47" s="1"/>
  <c r="X8" i="47" a="1"/>
  <c r="X8" i="47" s="1"/>
  <c r="X9" i="47" a="1"/>
  <c r="X9" i="47" s="1"/>
  <c r="X10" i="47" a="1"/>
  <c r="X10" i="47" s="1"/>
  <c r="X11" i="47" a="1"/>
  <c r="X11" i="47" s="1"/>
  <c r="X12" i="47" a="1"/>
  <c r="X12" i="47" s="1"/>
  <c r="X13" i="47" a="1"/>
  <c r="X13" i="47" s="1"/>
  <c r="X14" i="47" a="1"/>
  <c r="X14" i="47" s="1"/>
  <c r="X15" i="47" a="1"/>
  <c r="X15" i="47" s="1"/>
  <c r="X16" i="47" a="1"/>
  <c r="X16" i="47" s="1"/>
  <c r="X17" i="47" a="1"/>
  <c r="X17" i="47" s="1"/>
  <c r="X18" i="47" a="1"/>
  <c r="X18" i="47" s="1"/>
  <c r="X19" i="47" a="1"/>
  <c r="X19" i="47" s="1"/>
  <c r="X20" i="47" a="1"/>
  <c r="X20" i="47" s="1"/>
  <c r="X21" i="47" a="1"/>
  <c r="X21" i="47" s="1"/>
  <c r="X22" i="47" a="1"/>
  <c r="X22" i="47" s="1"/>
  <c r="X23" i="47" a="1"/>
  <c r="X23" i="47" s="1"/>
  <c r="X24" i="47" a="1"/>
  <c r="X24" i="47" s="1"/>
  <c r="X25" i="47" a="1"/>
  <c r="X25" i="47" s="1"/>
  <c r="X26" i="47" a="1"/>
  <c r="X26" i="47" s="1"/>
  <c r="Y7" i="47" a="1"/>
  <c r="Y7" i="47" s="1"/>
  <c r="Y8" i="47" a="1"/>
  <c r="Y8" i="47" s="1"/>
  <c r="Y9" i="47" a="1"/>
  <c r="Y9" i="47" s="1"/>
  <c r="Y10" i="47" a="1"/>
  <c r="Y10" i="47" s="1"/>
  <c r="Y11" i="47" a="1"/>
  <c r="Y11" i="47" s="1"/>
  <c r="Y12" i="47" a="1"/>
  <c r="Y12" i="47" s="1"/>
  <c r="Y13" i="47" a="1"/>
  <c r="Y13" i="47" s="1"/>
  <c r="Y14" i="47" a="1"/>
  <c r="Y14" i="47" s="1"/>
  <c r="Y15" i="47" a="1"/>
  <c r="Y15" i="47" s="1"/>
  <c r="Y16" i="47" a="1"/>
  <c r="Y16" i="47" s="1"/>
  <c r="Y17" i="47" a="1"/>
  <c r="Y17" i="47" s="1"/>
  <c r="Y18" i="47" a="1"/>
  <c r="Y18" i="47" s="1"/>
  <c r="Y19" i="47" a="1"/>
  <c r="Y19" i="47" s="1"/>
  <c r="Y20" i="47" a="1"/>
  <c r="Y20" i="47" s="1"/>
  <c r="Y21" i="47" a="1"/>
  <c r="Y21" i="47" s="1"/>
  <c r="Y22" i="47" a="1"/>
  <c r="Y22" i="47" s="1"/>
  <c r="Y23" i="47" a="1"/>
  <c r="Y23" i="47" s="1"/>
  <c r="Y24" i="47" a="1"/>
  <c r="Y24" i="47" s="1"/>
  <c r="Y25" i="47" a="1"/>
  <c r="Y25" i="47" s="1"/>
  <c r="Y26" i="47" a="1"/>
  <c r="Y26" i="47" s="1"/>
  <c r="Z7" i="47" a="1"/>
  <c r="Z7" i="47" s="1"/>
  <c r="Z8" i="47" a="1"/>
  <c r="Z8" i="47" s="1"/>
  <c r="Z9" i="47" a="1"/>
  <c r="Z9" i="47" s="1"/>
  <c r="Z10" i="47" a="1"/>
  <c r="Z10" i="47" s="1"/>
  <c r="Z11" i="47" a="1"/>
  <c r="Z11" i="47" s="1"/>
  <c r="Z12" i="47" a="1"/>
  <c r="Z12" i="47" s="1"/>
  <c r="Z13" i="47" a="1"/>
  <c r="Z13" i="47" s="1"/>
  <c r="Z14" i="47" a="1"/>
  <c r="Z14" i="47" s="1"/>
  <c r="Z15" i="47" a="1"/>
  <c r="Z15" i="47" s="1"/>
  <c r="Z16" i="47" a="1"/>
  <c r="Z16" i="47" s="1"/>
  <c r="Z17" i="47" a="1"/>
  <c r="Z17" i="47" s="1"/>
  <c r="Z18" i="47" a="1"/>
  <c r="Z18" i="47" s="1"/>
  <c r="Z19" i="47" a="1"/>
  <c r="Z19" i="47" s="1"/>
  <c r="Z20" i="47" a="1"/>
  <c r="Z20" i="47" s="1"/>
  <c r="Z21" i="47" a="1"/>
  <c r="Z21" i="47" s="1"/>
  <c r="Z22" i="47" a="1"/>
  <c r="Z22" i="47" s="1"/>
  <c r="Z23" i="47" a="1"/>
  <c r="Z23" i="47" s="1"/>
  <c r="Z24" i="47" a="1"/>
  <c r="Z24" i="47" s="1"/>
  <c r="Z25" i="47" a="1"/>
  <c r="Z25" i="47" s="1"/>
  <c r="Z26" i="47" a="1"/>
  <c r="Z26" i="47" s="1"/>
  <c r="AA7" i="47" a="1"/>
  <c r="AA7" i="47" s="1"/>
  <c r="AA8" i="47" a="1"/>
  <c r="AA8" i="47" s="1"/>
  <c r="AA9" i="47" a="1"/>
  <c r="AA9" i="47" s="1"/>
  <c r="AA10" i="47" a="1"/>
  <c r="AA10" i="47" s="1"/>
  <c r="AA11" i="47" a="1"/>
  <c r="AA11" i="47" s="1"/>
  <c r="AA12" i="47" a="1"/>
  <c r="AA12" i="47" s="1"/>
  <c r="AA13" i="47" a="1"/>
  <c r="AA13" i="47" s="1"/>
  <c r="AA14" i="47" a="1"/>
  <c r="AA14" i="47" s="1"/>
  <c r="AA15" i="47" a="1"/>
  <c r="AA15" i="47" s="1"/>
  <c r="AA16" i="47" a="1"/>
  <c r="AA16" i="47" s="1"/>
  <c r="AA17" i="47" a="1"/>
  <c r="AA17" i="47" s="1"/>
  <c r="AA18" i="47" a="1"/>
  <c r="AA18" i="47" s="1"/>
  <c r="AA19" i="47" a="1"/>
  <c r="AA19" i="47" s="1"/>
  <c r="AA20" i="47" a="1"/>
  <c r="AA20" i="47" s="1"/>
  <c r="AA21" i="47" a="1"/>
  <c r="AA21" i="47" s="1"/>
  <c r="AA22" i="47" a="1"/>
  <c r="AA22" i="47" s="1"/>
  <c r="AA23" i="47" a="1"/>
  <c r="AA23" i="47" s="1"/>
  <c r="AA24" i="47" a="1"/>
  <c r="AA24" i="47" s="1"/>
  <c r="AA25" i="47" a="1"/>
  <c r="AA25" i="47" s="1"/>
  <c r="AA26" i="47" a="1"/>
  <c r="AA26" i="47" s="1"/>
  <c r="AB7" i="47" a="1"/>
  <c r="AB7" i="47" s="1"/>
  <c r="AB8" i="47" a="1"/>
  <c r="AB8" i="47" s="1"/>
  <c r="AB9" i="47" a="1"/>
  <c r="AB9" i="47" s="1"/>
  <c r="AB10" i="47" a="1"/>
  <c r="AB10" i="47" s="1"/>
  <c r="AB11" i="47" a="1"/>
  <c r="AB11" i="47" s="1"/>
  <c r="AB12" i="47" a="1"/>
  <c r="AB12" i="47" s="1"/>
  <c r="AB13" i="47" a="1"/>
  <c r="AB13" i="47" s="1"/>
  <c r="AB14" i="47" a="1"/>
  <c r="AB14" i="47" s="1"/>
  <c r="AB15" i="47" a="1"/>
  <c r="AB15" i="47" s="1"/>
  <c r="AB16" i="47" a="1"/>
  <c r="AB16" i="47" s="1"/>
  <c r="AB17" i="47" a="1"/>
  <c r="AB17" i="47" s="1"/>
  <c r="AB18" i="47" a="1"/>
  <c r="AB18" i="47" s="1"/>
  <c r="AB19" i="47" a="1"/>
  <c r="AB19" i="47" s="1"/>
  <c r="AB20" i="47" a="1"/>
  <c r="AB20" i="47" s="1"/>
  <c r="AB21" i="47" a="1"/>
  <c r="AB21" i="47" s="1"/>
  <c r="AB22" i="47" a="1"/>
  <c r="AB22" i="47" s="1"/>
  <c r="AB23" i="47" a="1"/>
  <c r="AB23" i="47" s="1"/>
  <c r="AB24" i="47" a="1"/>
  <c r="AB24" i="47" s="1"/>
  <c r="AB25" i="47" a="1"/>
  <c r="AB25" i="47" s="1"/>
  <c r="AB26" i="47" a="1"/>
  <c r="AB26" i="47" s="1"/>
  <c r="AC7" i="47" a="1"/>
  <c r="AC7" i="47" s="1"/>
  <c r="AC8" i="47" a="1"/>
  <c r="AC8" i="47" s="1"/>
  <c r="AC9" i="47" a="1"/>
  <c r="AC9" i="47" s="1"/>
  <c r="AC10" i="47" a="1"/>
  <c r="AC10" i="47" s="1"/>
  <c r="AC11" i="47" a="1"/>
  <c r="AC11" i="47" s="1"/>
  <c r="AC12" i="47" a="1"/>
  <c r="AC12" i="47" s="1"/>
  <c r="AC13" i="47" a="1"/>
  <c r="AC13" i="47" s="1"/>
  <c r="AC14" i="47" a="1"/>
  <c r="AC14" i="47" s="1"/>
  <c r="AC15" i="47" a="1"/>
  <c r="AC15" i="47" s="1"/>
  <c r="AC16" i="47" a="1"/>
  <c r="AC16" i="47" s="1"/>
  <c r="AC17" i="47" a="1"/>
  <c r="AC17" i="47" s="1"/>
  <c r="AC18" i="47" a="1"/>
  <c r="AC18" i="47" s="1"/>
  <c r="AC19" i="47" a="1"/>
  <c r="AC19" i="47" s="1"/>
  <c r="AC20" i="47" a="1"/>
  <c r="AC20" i="47" s="1"/>
  <c r="AC21" i="47" a="1"/>
  <c r="AC21" i="47" s="1"/>
  <c r="AC22" i="47" a="1"/>
  <c r="AC22" i="47" s="1"/>
  <c r="AC23" i="47" a="1"/>
  <c r="AC23" i="47" s="1"/>
  <c r="AC24" i="47" a="1"/>
  <c r="AC24" i="47" s="1"/>
  <c r="AC25" i="47" a="1"/>
  <c r="AC25" i="47" s="1"/>
  <c r="AC26" i="47" a="1"/>
  <c r="AC26" i="47" s="1"/>
  <c r="AD7" i="47" a="1"/>
  <c r="AD7" i="47" s="1"/>
  <c r="AD8" i="47" a="1"/>
  <c r="AD8" i="47" s="1"/>
  <c r="AD9" i="47" a="1"/>
  <c r="AD9" i="47" s="1"/>
  <c r="AD10" i="47" a="1"/>
  <c r="AD10" i="47" s="1"/>
  <c r="AD11" i="47" a="1"/>
  <c r="AD11" i="47" s="1"/>
  <c r="AD12" i="47" a="1"/>
  <c r="AD12" i="47" s="1"/>
  <c r="AD13" i="47" a="1"/>
  <c r="AD13" i="47" s="1"/>
  <c r="AD14" i="47" a="1"/>
  <c r="AD14" i="47" s="1"/>
  <c r="AD15" i="47" a="1"/>
  <c r="AD15" i="47" s="1"/>
  <c r="AD16" i="47" a="1"/>
  <c r="AD16" i="47" s="1"/>
  <c r="AD17" i="47" a="1"/>
  <c r="AD17" i="47" s="1"/>
  <c r="AD18" i="47" a="1"/>
  <c r="AD18" i="47" s="1"/>
  <c r="AD19" i="47" a="1"/>
  <c r="AD19" i="47" s="1"/>
  <c r="AD20" i="47" a="1"/>
  <c r="AD20" i="47" s="1"/>
  <c r="AD21" i="47" a="1"/>
  <c r="AD21" i="47" s="1"/>
  <c r="AD22" i="47" a="1"/>
  <c r="AD22" i="47" s="1"/>
  <c r="AD23" i="47" a="1"/>
  <c r="AD23" i="47" s="1"/>
  <c r="AD24" i="47" a="1"/>
  <c r="AD24" i="47" s="1"/>
  <c r="AD25" i="47" a="1"/>
  <c r="AD25" i="47" s="1"/>
  <c r="AD26" i="47" a="1"/>
  <c r="AD26" i="47" s="1"/>
  <c r="AE7" i="47" a="1"/>
  <c r="AE7" i="47" s="1"/>
  <c r="AE8" i="47" a="1"/>
  <c r="AE8" i="47" s="1"/>
  <c r="AE9" i="47" a="1"/>
  <c r="AE9" i="47" s="1"/>
  <c r="AE10" i="47" a="1"/>
  <c r="AE10" i="47" s="1"/>
  <c r="AE11" i="47" a="1"/>
  <c r="AE11" i="47" s="1"/>
  <c r="AE12" i="47" a="1"/>
  <c r="AE12" i="47" s="1"/>
  <c r="AE13" i="47" a="1"/>
  <c r="AE13" i="47" s="1"/>
  <c r="AE14" i="47" a="1"/>
  <c r="AE14" i="47" s="1"/>
  <c r="AE15" i="47" a="1"/>
  <c r="AE15" i="47" s="1"/>
  <c r="AE16" i="47" a="1"/>
  <c r="AE16" i="47" s="1"/>
  <c r="AE17" i="47" a="1"/>
  <c r="AE17" i="47" s="1"/>
  <c r="AE18" i="47" a="1"/>
  <c r="AE18" i="47" s="1"/>
  <c r="AE19" i="47" a="1"/>
  <c r="AE19" i="47" s="1"/>
  <c r="AE20" i="47" a="1"/>
  <c r="AE20" i="47" s="1"/>
  <c r="AE21" i="47" a="1"/>
  <c r="AE21" i="47" s="1"/>
  <c r="AE22" i="47" a="1"/>
  <c r="AE22" i="47" s="1"/>
  <c r="AE23" i="47" a="1"/>
  <c r="AE23" i="47" s="1"/>
  <c r="AE24" i="47" a="1"/>
  <c r="AE24" i="47" s="1"/>
  <c r="AE25" i="47" a="1"/>
  <c r="AE25" i="47" s="1"/>
  <c r="AE26" i="47" a="1"/>
  <c r="AE26" i="47" s="1"/>
  <c r="AJ7" i="47"/>
  <c r="AK7" i="47" s="1"/>
  <c r="AJ8" i="47"/>
  <c r="AK8" i="47" s="1"/>
  <c r="AJ9" i="47"/>
  <c r="AK9" i="47" s="1"/>
  <c r="AJ10" i="47"/>
  <c r="AK10" i="47" s="1"/>
  <c r="AJ11" i="47"/>
  <c r="AK11" i="47" s="1"/>
  <c r="AJ12" i="47"/>
  <c r="AK12" i="47" s="1"/>
  <c r="AJ13" i="47"/>
  <c r="AK13" i="47" s="1"/>
  <c r="AJ14" i="47"/>
  <c r="AK14" i="47" s="1"/>
  <c r="AJ15" i="47"/>
  <c r="AK15" i="47" s="1"/>
  <c r="AJ16" i="47"/>
  <c r="AK16" i="47" s="1"/>
  <c r="AJ17" i="47"/>
  <c r="AK17" i="47" s="1"/>
  <c r="AJ18" i="47"/>
  <c r="AK18" i="47" s="1"/>
  <c r="AJ19" i="47"/>
  <c r="AK19" i="47" s="1"/>
  <c r="AJ20" i="47"/>
  <c r="AK20" i="47" s="1"/>
  <c r="AJ21" i="47"/>
  <c r="AK21" i="47" s="1"/>
  <c r="AJ22" i="47"/>
  <c r="AK22" i="47" s="1"/>
  <c r="AJ23" i="47"/>
  <c r="AK23" i="47" s="1"/>
  <c r="AJ24" i="47"/>
  <c r="AK24" i="47" s="1"/>
  <c r="AJ25" i="47"/>
  <c r="AK25" i="47" s="1"/>
  <c r="AJ26" i="47"/>
  <c r="AK26" i="47" s="1"/>
  <c r="AL7" i="47"/>
  <c r="AL8" i="47"/>
  <c r="AL9" i="47"/>
  <c r="AL10" i="47"/>
  <c r="AL11" i="47"/>
  <c r="AL12" i="47"/>
  <c r="AL13" i="47"/>
  <c r="AL14" i="47"/>
  <c r="AL15" i="47"/>
  <c r="AL16" i="47"/>
  <c r="AL17" i="47"/>
  <c r="AL18" i="47"/>
  <c r="AL19" i="47"/>
  <c r="AL20" i="47"/>
  <c r="AL21" i="47"/>
  <c r="AL22" i="47"/>
  <c r="AL23" i="47"/>
  <c r="AL24" i="47"/>
  <c r="AL25" i="47"/>
  <c r="AL26" i="47"/>
  <c r="AM7" i="47"/>
  <c r="AM8" i="47"/>
  <c r="AM9" i="47"/>
  <c r="AM10" i="47"/>
  <c r="AM11" i="47"/>
  <c r="AM12" i="47"/>
  <c r="AM13" i="47"/>
  <c r="AM14" i="47"/>
  <c r="AM15" i="47"/>
  <c r="AM16" i="47"/>
  <c r="AM17" i="47"/>
  <c r="AM18" i="47"/>
  <c r="AM19" i="47"/>
  <c r="AM20" i="47"/>
  <c r="AM21" i="47"/>
  <c r="AM22" i="47"/>
  <c r="AM23" i="47"/>
  <c r="AM24" i="47"/>
  <c r="AM25" i="47"/>
  <c r="AM26" i="47"/>
  <c r="AN7" i="47"/>
  <c r="AO7" i="47" s="1"/>
  <c r="AN8" i="47"/>
  <c r="AO8" i="47" s="1"/>
  <c r="AN21" i="47"/>
  <c r="AO21" i="47" s="1"/>
  <c r="AP7" i="47"/>
  <c r="AP8" i="47"/>
  <c r="AP9" i="47"/>
  <c r="AP11" i="47"/>
  <c r="AP21" i="47"/>
  <c r="AQ7" i="47"/>
  <c r="AQ8" i="47"/>
  <c r="AQ19" i="47"/>
  <c r="AQ21" i="47"/>
  <c r="C101" i="76"/>
  <c r="CE61" i="38" a="1"/>
  <c r="CE61" i="38" s="1"/>
  <c r="J62" i="38"/>
  <c r="P62" i="38" a="1"/>
  <c r="P62" i="38" s="1"/>
  <c r="R62" i="38" s="1"/>
  <c r="Q62" i="38" a="1"/>
  <c r="Q62" i="38" s="1"/>
  <c r="U62" i="38" a="1"/>
  <c r="U62" i="38" s="1"/>
  <c r="V62" i="38" s="1"/>
  <c r="AA62" i="38"/>
  <c r="AF62" i="38"/>
  <c r="AK62" i="38"/>
  <c r="CI62" i="38"/>
  <c r="I62" i="38" s="1" a="1"/>
  <c r="I62" i="38" s="1"/>
  <c r="CJ62" i="38"/>
  <c r="AS62" i="38" s="1" a="1"/>
  <c r="AS62" i="38" s="1"/>
  <c r="J63" i="38"/>
  <c r="P63" i="38" a="1"/>
  <c r="P63" i="38" s="1"/>
  <c r="R63" i="38" s="1"/>
  <c r="Q63" i="38" a="1"/>
  <c r="Q63" i="38" s="1"/>
  <c r="U63" i="38" a="1"/>
  <c r="U63" i="38" s="1"/>
  <c r="V63" i="38" s="1"/>
  <c r="AA63" i="38"/>
  <c r="AF63" i="38"/>
  <c r="AK63" i="38"/>
  <c r="CI63" i="38"/>
  <c r="I63" i="38" s="1" a="1"/>
  <c r="I63" i="38" s="1"/>
  <c r="CJ63" i="38"/>
  <c r="AS63" i="38" s="1" a="1"/>
  <c r="AS63" i="38" s="1"/>
  <c r="J64" i="38"/>
  <c r="P64" i="38" a="1"/>
  <c r="P64" i="38" s="1"/>
  <c r="R64" i="38" s="1"/>
  <c r="Q64" i="38" a="1"/>
  <c r="Q64" i="38" s="1"/>
  <c r="U64" i="38" a="1"/>
  <c r="U64" i="38" s="1"/>
  <c r="V64" i="38" s="1"/>
  <c r="AA64" i="38"/>
  <c r="AF64" i="38"/>
  <c r="AK64" i="38"/>
  <c r="CI64" i="38"/>
  <c r="I64" i="38" s="1" a="1"/>
  <c r="I64" i="38" s="1"/>
  <c r="CJ64" i="38"/>
  <c r="AS64" i="38" s="1" a="1"/>
  <c r="AS64" i="38" s="1"/>
  <c r="K6" i="101"/>
  <c r="E6" i="101" a="1"/>
  <c r="E6" i="101" s="1"/>
  <c r="G42" i="100"/>
  <c r="H42" i="100"/>
  <c r="I42" i="100"/>
  <c r="F42" i="100"/>
  <c r="P7" i="50" a="1"/>
  <c r="P7" i="50" s="1"/>
  <c r="A7" i="50"/>
  <c r="P5" i="50" a="1"/>
  <c r="P5" i="50" s="1"/>
  <c r="A5" i="50"/>
  <c r="AN23" i="47" l="1"/>
  <c r="AO23" i="47" s="1"/>
  <c r="AQ23" i="47"/>
  <c r="AN24" i="47"/>
  <c r="AO24" i="47" s="1"/>
  <c r="AQ9" i="47"/>
  <c r="AP19" i="47"/>
  <c r="AQ11" i="47"/>
  <c r="AN12" i="47"/>
  <c r="AO12" i="47" s="1"/>
  <c r="AP12" i="47"/>
  <c r="AP24" i="47"/>
  <c r="AP17" i="47"/>
  <c r="AP16" i="47"/>
  <c r="AQ13" i="47"/>
  <c r="AP15" i="47"/>
  <c r="AN15" i="47"/>
  <c r="AO15" i="47" s="1"/>
  <c r="AP13" i="47"/>
  <c r="AN16" i="47"/>
  <c r="AO16" i="47" s="1"/>
  <c r="AQ17" i="47"/>
  <c r="AQ25" i="47"/>
  <c r="AP25" i="47"/>
  <c r="AN22" i="47"/>
  <c r="AO22" i="47" s="1"/>
  <c r="AN20" i="47"/>
  <c r="AO20" i="47" s="1"/>
  <c r="AQ20" i="47"/>
  <c r="L9" i="43"/>
  <c r="L8" i="43"/>
  <c r="L10" i="43"/>
  <c r="L7" i="43"/>
  <c r="AB7" i="43"/>
  <c r="AB9" i="43"/>
  <c r="AB10" i="43"/>
  <c r="J10" i="43"/>
  <c r="J9" i="43"/>
  <c r="J8" i="43"/>
  <c r="AB8" i="43"/>
  <c r="AQ19" i="38"/>
  <c r="B38" i="38"/>
  <c r="B26" i="38"/>
  <c r="AQ18" i="38"/>
  <c r="AQ14" i="47"/>
  <c r="AQ20" i="38"/>
  <c r="B47" i="38"/>
  <c r="AQ22" i="47"/>
  <c r="AP14" i="47"/>
  <c r="J7" i="43"/>
  <c r="AT27" i="38" a="1"/>
  <c r="AT27" i="38" s="1"/>
  <c r="CD63" i="38"/>
  <c r="AG22" i="47" a="1"/>
  <c r="AG22" i="47" s="1"/>
  <c r="AI9" i="47" a="1"/>
  <c r="AI9" i="47" s="1"/>
  <c r="AG18" i="47" a="1"/>
  <c r="AG18" i="47" s="1"/>
  <c r="AH18" i="47" a="1"/>
  <c r="AH18" i="47" s="1"/>
  <c r="AF21" i="47" a="1"/>
  <c r="AF21" i="47" s="1"/>
  <c r="AF10" i="47" a="1"/>
  <c r="AF10" i="47" s="1"/>
  <c r="AH13" i="47" a="1"/>
  <c r="AH13" i="47" s="1"/>
  <c r="AI14" i="47" a="1"/>
  <c r="AI14" i="47" s="1"/>
  <c r="AF26" i="47" a="1"/>
  <c r="AF26" i="47" s="1"/>
  <c r="AG17" i="47" a="1"/>
  <c r="AG17" i="47" s="1"/>
  <c r="AI25" i="47" a="1"/>
  <c r="AI25" i="47" s="1"/>
  <c r="AF11" i="47" a="1"/>
  <c r="AF11" i="47" s="1"/>
  <c r="AF22" i="47" a="1"/>
  <c r="AF22" i="47" s="1"/>
  <c r="AI10" i="47" a="1"/>
  <c r="AI10" i="47" s="1"/>
  <c r="AI21" i="47" a="1"/>
  <c r="AI21" i="47" s="1"/>
  <c r="U13" i="47"/>
  <c r="AG13" i="47" a="1"/>
  <c r="AG13" i="47" s="1"/>
  <c r="AH19" i="47" a="1"/>
  <c r="AH19" i="47" s="1"/>
  <c r="AI26" i="47" a="1"/>
  <c r="AI26" i="47" s="1"/>
  <c r="U22" i="47"/>
  <c r="U21" i="47"/>
  <c r="AF17" i="47" a="1"/>
  <c r="AF17" i="47" s="1"/>
  <c r="AH14" i="47" a="1"/>
  <c r="AH14" i="47" s="1"/>
  <c r="AI15" i="47" a="1"/>
  <c r="AI15" i="47" s="1"/>
  <c r="AH15" i="47" a="1"/>
  <c r="AH15" i="47" s="1"/>
  <c r="AF7" i="47" a="1"/>
  <c r="AF7" i="47" s="1"/>
  <c r="AH8" i="47" a="1"/>
  <c r="AH8" i="47" s="1"/>
  <c r="U16" i="47"/>
  <c r="AI16" i="47" a="1"/>
  <c r="AI16" i="47" s="1"/>
  <c r="AH16" i="47" a="1"/>
  <c r="AH16" i="47" s="1"/>
  <c r="AG16" i="47" a="1"/>
  <c r="AG16" i="47" s="1"/>
  <c r="AF16" i="47" a="1"/>
  <c r="AF16" i="47" s="1"/>
  <c r="AF23" i="47" a="1"/>
  <c r="AF23" i="47" s="1"/>
  <c r="AI23" i="47" a="1"/>
  <c r="AI23" i="47" s="1"/>
  <c r="AH23" i="47" a="1"/>
  <c r="AH23" i="47" s="1"/>
  <c r="AG23" i="47" a="1"/>
  <c r="AG23" i="47" s="1"/>
  <c r="AF12" i="47" a="1"/>
  <c r="AF12" i="47" s="1"/>
  <c r="AI12" i="47" a="1"/>
  <c r="AI12" i="47" s="1"/>
  <c r="U12" i="47"/>
  <c r="AG12" i="47" a="1"/>
  <c r="AG12" i="47" s="1"/>
  <c r="AH12" i="47" a="1"/>
  <c r="AH12" i="47" s="1"/>
  <c r="AG7" i="47" a="1"/>
  <c r="AG7" i="47" s="1"/>
  <c r="AI11" i="47" a="1"/>
  <c r="AI11" i="47" s="1"/>
  <c r="AH24" i="47" a="1"/>
  <c r="AH24" i="47" s="1"/>
  <c r="AH20" i="47" a="1"/>
  <c r="AH20" i="47" s="1"/>
  <c r="U20" i="47"/>
  <c r="AG20" i="47" a="1"/>
  <c r="AG20" i="47" s="1"/>
  <c r="AF20" i="47" a="1"/>
  <c r="AF20" i="47" s="1"/>
  <c r="AI20" i="47" a="1"/>
  <c r="AI20" i="47" s="1"/>
  <c r="U25" i="47"/>
  <c r="U9" i="47"/>
  <c r="U24" i="47"/>
  <c r="U19" i="47"/>
  <c r="U8" i="47"/>
  <c r="AI24" i="47" a="1"/>
  <c r="AI24" i="47" s="1"/>
  <c r="AI19" i="47" a="1"/>
  <c r="AI19" i="47" s="1"/>
  <c r="AI13" i="47" a="1"/>
  <c r="AI13" i="47" s="1"/>
  <c r="AI8" i="47" a="1"/>
  <c r="AI8" i="47" s="1"/>
  <c r="AH17" i="47" a="1"/>
  <c r="AH17" i="47" s="1"/>
  <c r="AH7" i="47" a="1"/>
  <c r="AH7" i="47" s="1"/>
  <c r="AG21" i="47" a="1"/>
  <c r="AG21" i="47" s="1"/>
  <c r="AG11" i="47" a="1"/>
  <c r="AG11" i="47" s="1"/>
  <c r="AF25" i="47" a="1"/>
  <c r="AF25" i="47" s="1"/>
  <c r="AF15" i="47" a="1"/>
  <c r="AF15" i="47" s="1"/>
  <c r="AF9" i="47" a="1"/>
  <c r="AF9" i="47" s="1"/>
  <c r="AN26" i="47"/>
  <c r="AO26" i="47" s="1"/>
  <c r="AI18" i="47" a="1"/>
  <c r="AI18" i="47" s="1"/>
  <c r="AH22" i="47" a="1"/>
  <c r="AH22" i="47" s="1"/>
  <c r="AG26" i="47" a="1"/>
  <c r="AG26" i="47" s="1"/>
  <c r="AG10" i="47" a="1"/>
  <c r="AG10" i="47" s="1"/>
  <c r="AF14" i="47" a="1"/>
  <c r="AF14" i="47" s="1"/>
  <c r="U23" i="47"/>
  <c r="U18" i="47"/>
  <c r="U7" i="47"/>
  <c r="AI17" i="47" a="1"/>
  <c r="AI17" i="47" s="1"/>
  <c r="AI7" i="47" a="1"/>
  <c r="AI7" i="47" s="1"/>
  <c r="AH21" i="47" a="1"/>
  <c r="AH21" i="47" s="1"/>
  <c r="AH11" i="47" a="1"/>
  <c r="AH11" i="47" s="1"/>
  <c r="AG25" i="47" a="1"/>
  <c r="AG25" i="47" s="1"/>
  <c r="AG15" i="47" a="1"/>
  <c r="AG15" i="47" s="1"/>
  <c r="AG9" i="47" a="1"/>
  <c r="AG9" i="47" s="1"/>
  <c r="AF24" i="47" a="1"/>
  <c r="AF24" i="47" s="1"/>
  <c r="AF19" i="47" a="1"/>
  <c r="AF19" i="47" s="1"/>
  <c r="AF13" i="47" a="1"/>
  <c r="AF13" i="47" s="1"/>
  <c r="AF8" i="47" a="1"/>
  <c r="AF8" i="47" s="1"/>
  <c r="U17" i="47"/>
  <c r="K10" i="43" s="1"/>
  <c r="AN18" i="47"/>
  <c r="AO18" i="47" s="1"/>
  <c r="AI22" i="47" a="1"/>
  <c r="AI22" i="47" s="1"/>
  <c r="AH26" i="47" a="1"/>
  <c r="AH26" i="47" s="1"/>
  <c r="AH10" i="47" a="1"/>
  <c r="AH10" i="47" s="1"/>
  <c r="AG14" i="47" a="1"/>
  <c r="AG14" i="47" s="1"/>
  <c r="AF18" i="47" a="1"/>
  <c r="AF18" i="47" s="1"/>
  <c r="U11" i="47"/>
  <c r="AQ26" i="47"/>
  <c r="AH25" i="47" a="1"/>
  <c r="AH25" i="47" s="1"/>
  <c r="AH9" i="47" a="1"/>
  <c r="AH9" i="47" s="1"/>
  <c r="AG24" i="47" a="1"/>
  <c r="AG24" i="47" s="1"/>
  <c r="AG19" i="47" a="1"/>
  <c r="AG19" i="47" s="1"/>
  <c r="AG8" i="47" a="1"/>
  <c r="AG8" i="47" s="1"/>
  <c r="U14" i="47"/>
  <c r="AN10" i="47"/>
  <c r="AO10" i="47" s="1"/>
  <c r="AQ18" i="47"/>
  <c r="AP10" i="47"/>
  <c r="U26" i="47"/>
  <c r="U15" i="47"/>
  <c r="U10" i="47"/>
  <c r="AT64" i="38" a="1"/>
  <c r="AT64" i="38" s="1"/>
  <c r="AU64" i="38" s="1"/>
  <c r="AT62" i="38" a="1"/>
  <c r="AT62" i="38" s="1"/>
  <c r="AU62" i="38" s="1"/>
  <c r="AT63" i="38" a="1"/>
  <c r="AT63" i="38" s="1"/>
  <c r="AU63" i="38" s="1"/>
  <c r="AN63" i="38" a="1"/>
  <c r="AN63" i="38" s="1"/>
  <c r="AG63" i="38" a="1"/>
  <c r="AG63" i="38" s="1"/>
  <c r="AL63" i="38" s="1"/>
  <c r="AO63" i="38"/>
  <c r="AG64" i="38" a="1"/>
  <c r="AG64" i="38" s="1"/>
  <c r="AL64" i="38" s="1"/>
  <c r="AO64" i="38"/>
  <c r="AN64" i="38" a="1"/>
  <c r="AN64" i="38" s="1"/>
  <c r="AG62" i="38" a="1"/>
  <c r="AG62" i="38" s="1"/>
  <c r="AL62" i="38" s="1"/>
  <c r="AO62" i="38"/>
  <c r="AN62" i="38" a="1"/>
  <c r="AN62" i="38" s="1"/>
  <c r="CD64" i="38"/>
  <c r="CD62" i="38"/>
  <c r="AM64" i="38" a="1"/>
  <c r="AM64" i="38" s="1"/>
  <c r="AM62" i="38" a="1"/>
  <c r="AM62" i="38" s="1"/>
  <c r="AM63" i="38" a="1"/>
  <c r="AM63" i="38" s="1"/>
  <c r="P4" i="50" a="1"/>
  <c r="P4" i="50" s="1"/>
  <c r="A4" i="50"/>
  <c r="CJ19" i="38" l="1"/>
  <c r="CJ20" i="38"/>
  <c r="K8" i="43"/>
  <c r="K9" i="43"/>
  <c r="CJ18" i="38"/>
  <c r="AQ13" i="38"/>
  <c r="B17" i="38"/>
  <c r="K7" i="43"/>
  <c r="AY64" i="38" a="1"/>
  <c r="AY64" i="38" s="1"/>
  <c r="AZ64" i="38" s="1"/>
  <c r="AY62" i="38" a="1"/>
  <c r="AY62" i="38" s="1"/>
  <c r="AZ62" i="38" s="1"/>
  <c r="AY63" i="38" a="1"/>
  <c r="AY63" i="38" s="1"/>
  <c r="AZ63" i="38" s="1"/>
  <c r="AP64" i="38"/>
  <c r="BM63" i="38"/>
  <c r="AV63" i="38" a="1"/>
  <c r="AV63" i="38" s="1"/>
  <c r="AX63" i="38" s="1"/>
  <c r="AV64" i="38" a="1"/>
  <c r="AV64" i="38" s="1"/>
  <c r="AX64" i="38" s="1"/>
  <c r="BM64" i="38"/>
  <c r="AP62" i="38"/>
  <c r="AP63" i="38"/>
  <c r="AV62" i="38" a="1"/>
  <c r="AV62" i="38" s="1"/>
  <c r="AX62" i="38" s="1"/>
  <c r="BM62" i="38"/>
  <c r="AT19" i="38" l="1" a="1"/>
  <c r="AT19" i="38" s="1"/>
  <c r="AY19" i="38" s="1" a="1"/>
  <c r="AY19" i="38" s="1"/>
  <c r="AZ19" i="38" s="1"/>
  <c r="AS19" i="38" a="1"/>
  <c r="AS19" i="38" s="1"/>
  <c r="AT20" i="38" a="1"/>
  <c r="AT20" i="38" s="1"/>
  <c r="AY20" i="38" s="1" a="1"/>
  <c r="AY20" i="38" s="1"/>
  <c r="AZ20" i="38" s="1"/>
  <c r="AS20" i="38" a="1"/>
  <c r="AS20" i="38" s="1"/>
  <c r="S9" i="43"/>
  <c r="S8" i="43"/>
  <c r="S10" i="43"/>
  <c r="S7" i="43"/>
  <c r="CJ13" i="38"/>
  <c r="AT18" i="38" a="1"/>
  <c r="AT18" i="38" s="1"/>
  <c r="AY18" i="38" s="1" a="1"/>
  <c r="AY18" i="38" s="1"/>
  <c r="AZ18" i="38" s="1"/>
  <c r="AS18" i="38" a="1"/>
  <c r="AS18" i="38" s="1"/>
  <c r="BA64" i="38"/>
  <c r="BF64" i="38" s="1"/>
  <c r="BA62" i="38"/>
  <c r="BF62" i="38" s="1"/>
  <c r="BA63" i="38"/>
  <c r="BD64" i="38"/>
  <c r="BK64" i="38"/>
  <c r="BD62" i="38"/>
  <c r="BK62" i="38"/>
  <c r="BK63" i="38"/>
  <c r="BD63" i="38"/>
  <c r="AT13" i="38" l="1" a="1"/>
  <c r="AT13" i="38" s="1"/>
  <c r="AY13" i="38" s="1" a="1"/>
  <c r="AY13" i="38" s="1"/>
  <c r="AZ13" i="38" s="1"/>
  <c r="AS13" i="38" a="1"/>
  <c r="AS13" i="38" s="1"/>
  <c r="BB64" i="38"/>
  <c r="BN64" i="38" s="1" a="1"/>
  <c r="BN64" i="38" s="1"/>
  <c r="BO64" i="38" s="1"/>
  <c r="BB62" i="38"/>
  <c r="BC62" i="38" s="1" a="1"/>
  <c r="BC62" i="38" s="1"/>
  <c r="BF63" i="38"/>
  <c r="BB63" i="38"/>
  <c r="BJ64" i="38" l="1" a="1"/>
  <c r="BJ64" i="38" s="1"/>
  <c r="BC64" i="38" a="1"/>
  <c r="BC64" i="38" s="1"/>
  <c r="BG64" i="38" a="1"/>
  <c r="BG64" i="38" s="1"/>
  <c r="BH64" i="38" s="1"/>
  <c r="BI64" i="38" s="1"/>
  <c r="BL64" i="38" a="1"/>
  <c r="BL64" i="38" s="1"/>
  <c r="BE64" i="38" a="1"/>
  <c r="BE64" i="38" s="1"/>
  <c r="BL62" i="38" a="1"/>
  <c r="BL62" i="38" s="1"/>
  <c r="BG62" i="38" a="1"/>
  <c r="BG62" i="38" s="1"/>
  <c r="BH62" i="38" s="1"/>
  <c r="BI62" i="38" s="1"/>
  <c r="BE62" i="38" a="1"/>
  <c r="BE62" i="38" s="1"/>
  <c r="BJ62" i="38" a="1"/>
  <c r="BJ62" i="38" s="1"/>
  <c r="BN62" i="38" a="1"/>
  <c r="BN62" i="38" s="1"/>
  <c r="BO62" i="38" s="1"/>
  <c r="BL63" i="38" a="1"/>
  <c r="BL63" i="38" s="1"/>
  <c r="BE63" i="38" a="1"/>
  <c r="BE63" i="38" s="1"/>
  <c r="BG63" i="38" a="1"/>
  <c r="BG63" i="38" s="1"/>
  <c r="BH63" i="38" s="1"/>
  <c r="BC63" i="38" a="1"/>
  <c r="BC63" i="38" s="1"/>
  <c r="BN63" i="38" a="1"/>
  <c r="BN63" i="38" s="1"/>
  <c r="BO63" i="38" s="1"/>
  <c r="BJ63" i="38" a="1"/>
  <c r="BJ63" i="38" s="1"/>
  <c r="D33" i="85"/>
  <c r="D31" i="85"/>
  <c r="D28" i="85"/>
  <c r="D25" i="85"/>
  <c r="D24" i="85"/>
  <c r="D23" i="85"/>
  <c r="D22" i="85"/>
  <c r="D21" i="85"/>
  <c r="BP64" i="38" l="1" a="1"/>
  <c r="BP64" i="38" s="1"/>
  <c r="BR64" i="38" s="1"/>
  <c r="BI63" i="38"/>
  <c r="BP62" i="38" a="1"/>
  <c r="BP62" i="38" s="1"/>
  <c r="BR62" i="38" s="1"/>
  <c r="BS62" i="38" s="1"/>
  <c r="BS64" i="38" l="1"/>
  <c r="BT64" i="38" s="1"/>
  <c r="BT62" i="38"/>
  <c r="BP63" i="38" a="1"/>
  <c r="BP63" i="38" s="1"/>
  <c r="BR63" i="38" s="1"/>
  <c r="BS63" i="38" l="1"/>
  <c r="BU62" i="38"/>
  <c r="CB62" i="38" a="1"/>
  <c r="CB62" i="38" s="1"/>
  <c r="CC62" i="38" a="1"/>
  <c r="CC62" i="38" s="1"/>
  <c r="BU64" i="38"/>
  <c r="CB64" i="38" a="1"/>
  <c r="CB64" i="38" s="1"/>
  <c r="CC64" i="38" a="1"/>
  <c r="CC64" i="38" s="1"/>
  <c r="DW62" i="38" l="1"/>
  <c r="CP62" i="38" a="1"/>
  <c r="CP62" i="38" s="1"/>
  <c r="DY62" i="38" a="1"/>
  <c r="DY62" i="38" s="1"/>
  <c r="DZ62" i="38" a="1"/>
  <c r="DZ62" i="38" s="1"/>
  <c r="EA62" i="38"/>
  <c r="DQ62" i="38"/>
  <c r="DS62" i="38" a="1"/>
  <c r="DS62" i="38" s="1"/>
  <c r="DT62" i="38" a="1"/>
  <c r="DT62" i="38" s="1"/>
  <c r="CN62" i="38" a="1"/>
  <c r="CN62" i="38" s="1"/>
  <c r="DU62" i="38"/>
  <c r="BT63" i="38"/>
  <c r="BS61" i="38"/>
  <c r="DW64" i="38"/>
  <c r="CP64" i="38" a="1"/>
  <c r="CP64" i="38" s="1"/>
  <c r="DY64" i="38" a="1"/>
  <c r="DY64" i="38" s="1"/>
  <c r="DZ64" i="38" a="1"/>
  <c r="DZ64" i="38" s="1"/>
  <c r="EA64" i="38"/>
  <c r="DQ64" i="38"/>
  <c r="DS64" i="38" a="1"/>
  <c r="DS64" i="38" s="1"/>
  <c r="CN64" i="38" a="1"/>
  <c r="CN64" i="38" s="1"/>
  <c r="DT64" i="38" a="1"/>
  <c r="DT64" i="38" s="1"/>
  <c r="DU64" i="38"/>
  <c r="CC63" i="38" l="1" a="1"/>
  <c r="CC63" i="38" s="1"/>
  <c r="BU63" i="38"/>
  <c r="BV61" i="38" s="1"/>
  <c r="CB63" i="38" a="1"/>
  <c r="CB63" i="38" s="1"/>
  <c r="BT61" i="38"/>
  <c r="DZ63" i="38" l="1" a="1"/>
  <c r="DZ63" i="38" s="1"/>
  <c r="DZ61" i="38" s="1"/>
  <c r="EA63" i="38"/>
  <c r="EA61" i="38" s="1"/>
  <c r="DW63" i="38"/>
  <c r="DW61" i="38" s="1"/>
  <c r="CP63" i="38" a="1"/>
  <c r="CP63" i="38" s="1"/>
  <c r="DY63" i="38" a="1"/>
  <c r="DY63" i="38" s="1"/>
  <c r="DY61" i="38" s="1"/>
  <c r="DT63" i="38" a="1"/>
  <c r="DT63" i="38" s="1"/>
  <c r="DT61" i="38" s="1"/>
  <c r="DU63" i="38"/>
  <c r="DU61" i="38" s="1"/>
  <c r="CN63" i="38" a="1"/>
  <c r="CN63" i="38" s="1"/>
  <c r="DQ63" i="38"/>
  <c r="DS63" i="38" a="1"/>
  <c r="DS63" i="38" s="1"/>
  <c r="DS61" i="38" s="1"/>
  <c r="DQ61" i="38" l="1"/>
  <c r="C90" i="89"/>
  <c r="C91" i="89"/>
  <c r="C92" i="89"/>
  <c r="C93" i="89"/>
  <c r="C94" i="89"/>
  <c r="C95" i="89"/>
  <c r="C96" i="89"/>
  <c r="C97" i="89"/>
  <c r="C98" i="89"/>
  <c r="C99" i="89"/>
  <c r="C100" i="89"/>
  <c r="C101" i="89"/>
  <c r="C102" i="89"/>
  <c r="C103" i="89"/>
  <c r="C104" i="89"/>
  <c r="C105" i="89"/>
  <c r="C106" i="89"/>
  <c r="C107" i="89"/>
  <c r="C108" i="89"/>
  <c r="E90" i="89"/>
  <c r="E91" i="89"/>
  <c r="E92" i="89"/>
  <c r="E93" i="89"/>
  <c r="E94" i="89"/>
  <c r="E95" i="89"/>
  <c r="E96" i="89"/>
  <c r="E97" i="89"/>
  <c r="E98" i="89"/>
  <c r="E99" i="89"/>
  <c r="E100" i="89"/>
  <c r="E101" i="89"/>
  <c r="E102" i="89"/>
  <c r="E103" i="89"/>
  <c r="E104" i="89"/>
  <c r="E105" i="89"/>
  <c r="E106" i="89"/>
  <c r="E107" i="89"/>
  <c r="E108" i="89"/>
  <c r="E88" i="89" l="1"/>
  <c r="E89" i="89"/>
  <c r="C88" i="89"/>
  <c r="C89" i="89"/>
  <c r="D87" i="89" a="1"/>
  <c r="D87" i="89" s="1"/>
  <c r="F87" i="89" a="1"/>
  <c r="F87" i="89" s="1"/>
  <c r="H156" i="100" l="1"/>
  <c r="F156" i="100"/>
  <c r="B127" i="77" l="1"/>
  <c r="B125" i="77"/>
  <c r="B139" i="77"/>
  <c r="B138" i="77"/>
  <c r="E55" i="79" l="1"/>
  <c r="E54" i="79"/>
  <c r="H45" i="100" l="1"/>
  <c r="F45" i="100"/>
  <c r="I161" i="100" l="1"/>
  <c r="D161" i="100"/>
  <c r="E161" i="100"/>
  <c r="F161" i="100"/>
  <c r="G161" i="100"/>
  <c r="H161" i="100"/>
  <c r="C161" i="100"/>
  <c r="P1001" i="71" l="1" a="1"/>
  <c r="P1001" i="71" s="1"/>
  <c r="R1001" i="71" s="1"/>
  <c r="Q1001" i="71" a="1"/>
  <c r="Q1001" i="71" s="1"/>
  <c r="U1001" i="71" a="1"/>
  <c r="U1001" i="71" s="1"/>
  <c r="V1001" i="71" s="1"/>
  <c r="AA1001" i="71"/>
  <c r="AF1001" i="71"/>
  <c r="AK1001" i="71"/>
  <c r="CJ1002" i="71"/>
  <c r="AS1002" i="71" s="1" a="1"/>
  <c r="AS1002" i="71" s="1"/>
  <c r="CI1002" i="71"/>
  <c r="CJ1001" i="71"/>
  <c r="CI1001" i="71"/>
  <c r="AM1001" i="71" s="1" a="1"/>
  <c r="AM1001" i="71" s="1"/>
  <c r="J1001" i="71"/>
  <c r="I1001" i="71" l="1" a="1"/>
  <c r="I1001" i="71" s="1"/>
  <c r="AN1001" i="71" a="1"/>
  <c r="AN1001" i="71" s="1"/>
  <c r="AT1002" i="71" a="1"/>
  <c r="AT1002" i="71" s="1"/>
  <c r="AY1002" i="71" s="1" a="1"/>
  <c r="AY1002" i="71" s="1"/>
  <c r="AZ1002" i="71" s="1"/>
  <c r="AO1001" i="71"/>
  <c r="AG1001" i="71" a="1"/>
  <c r="AG1001" i="71" s="1"/>
  <c r="AL1001" i="71" s="1"/>
  <c r="B2" i="90"/>
  <c r="AU1002" i="71" l="1"/>
  <c r="AV1002" i="71" s="1" a="1"/>
  <c r="AV1002" i="71" s="1"/>
  <c r="AX1002" i="71" s="1"/>
  <c r="BA1002" i="71" s="1"/>
  <c r="AP1001" i="71"/>
  <c r="BM1002" i="71" l="1"/>
  <c r="BF1002" i="71"/>
  <c r="BB1002" i="71"/>
  <c r="BD1001" i="71"/>
  <c r="BK1001" i="71"/>
  <c r="BB1001" i="71"/>
  <c r="K9" i="101"/>
  <c r="L9" i="101"/>
  <c r="M9" i="101" s="1"/>
  <c r="BJ1001" i="71" l="1" a="1"/>
  <c r="BJ1001" i="71" s="1"/>
  <c r="BN1001" i="71" a="1"/>
  <c r="BN1001" i="71" s="1"/>
  <c r="BO1001" i="71" s="1"/>
  <c r="BG1001" i="71" a="1"/>
  <c r="BG1001" i="71" s="1"/>
  <c r="BH1001" i="71" s="1"/>
  <c r="BI1001" i="71" s="1"/>
  <c r="BC1001" i="71" a="1"/>
  <c r="BC1001" i="71" s="1"/>
  <c r="BG1002" i="71" a="1"/>
  <c r="BG1002" i="71" s="1"/>
  <c r="BH1002" i="71" s="1"/>
  <c r="BI1002" i="71" s="1"/>
  <c r="BE1002" i="71" a="1"/>
  <c r="BE1002" i="71" s="1"/>
  <c r="BN1002" i="71" a="1"/>
  <c r="BN1002" i="71" s="1"/>
  <c r="BO1002" i="71" s="1"/>
  <c r="BL1002" i="71" a="1"/>
  <c r="BL1002" i="71" s="1"/>
  <c r="O9" i="101"/>
  <c r="N9" i="101"/>
  <c r="BP1001" i="71" l="1" a="1"/>
  <c r="BP1001" i="71" s="1"/>
  <c r="BR1001" i="71" s="1"/>
  <c r="BP1002" i="71" a="1"/>
  <c r="BP1002" i="71" s="1"/>
  <c r="BR1002" i="71" s="1"/>
  <c r="BS1002" i="71" l="1"/>
  <c r="BT1002" i="71" s="1"/>
  <c r="BS1001" i="71"/>
  <c r="BT1001" i="71" s="1"/>
  <c r="BU1002" i="71" l="1"/>
  <c r="CC1002" i="71" a="1"/>
  <c r="CC1002" i="71" s="1"/>
  <c r="CB1002" i="71" a="1"/>
  <c r="CB1002" i="71" s="1"/>
  <c r="BU1001" i="71"/>
  <c r="CB1001" i="71" a="1"/>
  <c r="CB1001" i="71" s="1"/>
  <c r="CC1001" i="71" a="1"/>
  <c r="CC1001" i="71" s="1"/>
  <c r="EA1001" i="71" l="1"/>
  <c r="DZ1001" i="71" a="1"/>
  <c r="DZ1001" i="71" s="1"/>
  <c r="DY1001" i="71" a="1"/>
  <c r="DY1001" i="71" s="1"/>
  <c r="DW1001" i="71"/>
  <c r="CP1001" i="71" a="1"/>
  <c r="CP1001" i="71" s="1"/>
  <c r="DS1002" i="71" a="1"/>
  <c r="DS1002" i="71" s="1"/>
  <c r="CN1002" i="71" a="1"/>
  <c r="CN1002" i="71" s="1"/>
  <c r="DQ1002" i="71"/>
  <c r="DU1002" i="71"/>
  <c r="DT1002" i="71" a="1"/>
  <c r="DT1002" i="71" s="1"/>
  <c r="DU1001" i="71"/>
  <c r="CN1001" i="71" a="1"/>
  <c r="CN1001" i="71" s="1"/>
  <c r="DT1001" i="71" a="1"/>
  <c r="DT1001" i="71" s="1"/>
  <c r="DQ1001" i="71"/>
  <c r="DS1001" i="71" a="1"/>
  <c r="DS1001" i="71" s="1"/>
  <c r="CP1002" i="71" a="1"/>
  <c r="CP1002" i="71" s="1"/>
  <c r="DY1002" i="71" a="1"/>
  <c r="DY1002" i="71" s="1"/>
  <c r="DW1002" i="71"/>
  <c r="EA1002" i="71"/>
  <c r="DZ1002" i="71" a="1"/>
  <c r="DZ1002" i="71" s="1"/>
  <c r="J41" i="85" l="1"/>
  <c r="O13" i="193" l="1" a="1"/>
  <c r="O13" i="193" s="1"/>
  <c r="O14" i="193" a="1"/>
  <c r="O14" i="193" s="1"/>
  <c r="O15" i="193" a="1"/>
  <c r="O15" i="193" s="1"/>
  <c r="O16" i="193" a="1"/>
  <c r="O16" i="193" s="1"/>
  <c r="O17" i="193" a="1"/>
  <c r="O17" i="193" s="1"/>
  <c r="N13" i="193" a="1"/>
  <c r="N13" i="193" s="1"/>
  <c r="N14" i="193" a="1"/>
  <c r="N14" i="193" s="1"/>
  <c r="N15" i="193" a="1"/>
  <c r="N15" i="193" s="1"/>
  <c r="N16" i="193" a="1"/>
  <c r="N16" i="193" s="1"/>
  <c r="N17" i="193" a="1"/>
  <c r="N17" i="193" s="1"/>
  <c r="C76" i="76" l="1"/>
  <c r="D467" i="89"/>
  <c r="D468" i="89"/>
  <c r="D469" i="89"/>
  <c r="E465" i="89" l="1"/>
  <c r="E464" i="89"/>
  <c r="C465" i="89" l="1"/>
  <c r="C464" i="89"/>
  <c r="D42" i="45"/>
  <c r="D41" i="45"/>
  <c r="H481" i="89"/>
  <c r="G481" i="89"/>
  <c r="F481" i="89"/>
  <c r="D481" i="89"/>
  <c r="H480" i="89"/>
  <c r="G480" i="89"/>
  <c r="F480" i="89"/>
  <c r="D480" i="89"/>
  <c r="H479" i="89"/>
  <c r="G479" i="89"/>
  <c r="F479" i="89"/>
  <c r="D479" i="89"/>
  <c r="H478" i="89"/>
  <c r="G478" i="89"/>
  <c r="F478" i="89"/>
  <c r="D478" i="89"/>
  <c r="H477" i="89"/>
  <c r="G477" i="89"/>
  <c r="F477" i="89"/>
  <c r="D477" i="89"/>
  <c r="H476" i="89"/>
  <c r="G476" i="89"/>
  <c r="F476" i="89"/>
  <c r="D476" i="89"/>
  <c r="H475" i="89"/>
  <c r="G475" i="89"/>
  <c r="F475" i="89"/>
  <c r="D475" i="89"/>
  <c r="H474" i="89"/>
  <c r="G474" i="89"/>
  <c r="F474" i="89"/>
  <c r="D474" i="89"/>
  <c r="H473" i="89"/>
  <c r="G473" i="89"/>
  <c r="F473" i="89"/>
  <c r="D473" i="89"/>
  <c r="H472" i="89"/>
  <c r="G472" i="89"/>
  <c r="F472" i="89"/>
  <c r="D472" i="89"/>
  <c r="H471" i="89"/>
  <c r="G471" i="89"/>
  <c r="F471" i="89"/>
  <c r="D471" i="89"/>
  <c r="H470" i="89"/>
  <c r="G470" i="89"/>
  <c r="F470" i="89"/>
  <c r="D470" i="89"/>
  <c r="H469" i="89"/>
  <c r="G469" i="89"/>
  <c r="F469" i="89"/>
  <c r="H468" i="89"/>
  <c r="G468" i="89"/>
  <c r="F468" i="89"/>
  <c r="H467" i="89"/>
  <c r="G467" i="89"/>
  <c r="F467" i="89"/>
  <c r="C463" i="89"/>
  <c r="C466" i="89"/>
  <c r="C467" i="89" s="1"/>
  <c r="C482" i="89"/>
  <c r="E482" i="89"/>
  <c r="E466" i="89"/>
  <c r="E478" i="89" s="1"/>
  <c r="E463" i="89"/>
  <c r="E475" i="89" l="1"/>
  <c r="C477" i="89"/>
  <c r="E467" i="89"/>
  <c r="C469" i="89"/>
  <c r="C474" i="89"/>
  <c r="C481" i="89"/>
  <c r="C470" i="89"/>
  <c r="E471" i="89"/>
  <c r="C473" i="89"/>
  <c r="C478" i="89"/>
  <c r="E479" i="89"/>
  <c r="E474" i="89"/>
  <c r="C468" i="89"/>
  <c r="E469" i="89"/>
  <c r="C472" i="89"/>
  <c r="E473" i="89"/>
  <c r="C476" i="89"/>
  <c r="E477" i="89"/>
  <c r="C480" i="89"/>
  <c r="E481" i="89"/>
  <c r="E470" i="89"/>
  <c r="E468" i="89"/>
  <c r="C471" i="89"/>
  <c r="E472" i="89"/>
  <c r="C475" i="89"/>
  <c r="E476" i="89"/>
  <c r="C479" i="89"/>
  <c r="E480" i="89"/>
  <c r="F536" i="89" l="1"/>
  <c r="D536" i="89"/>
  <c r="F535" i="89"/>
  <c r="D535" i="89"/>
  <c r="F534" i="89"/>
  <c r="D534" i="89"/>
  <c r="F533" i="89"/>
  <c r="D533" i="89"/>
  <c r="F532" i="89"/>
  <c r="D532" i="89"/>
  <c r="F531" i="89"/>
  <c r="D531" i="89"/>
  <c r="F530" i="89"/>
  <c r="D530" i="89"/>
  <c r="F529" i="89"/>
  <c r="D529" i="89"/>
  <c r="F528" i="89"/>
  <c r="D528" i="89"/>
  <c r="F527" i="89"/>
  <c r="D527" i="89"/>
  <c r="F526" i="89"/>
  <c r="D526" i="89"/>
  <c r="F525" i="89"/>
  <c r="D525" i="89"/>
  <c r="F524" i="89"/>
  <c r="E524" i="89"/>
  <c r="D524" i="89"/>
  <c r="C524" i="89"/>
  <c r="F523" i="89"/>
  <c r="D523" i="89"/>
  <c r="F522" i="89"/>
  <c r="D522" i="89"/>
  <c r="F521" i="89"/>
  <c r="D521" i="89"/>
  <c r="F520" i="89"/>
  <c r="D520" i="89"/>
  <c r="F519" i="89"/>
  <c r="E519" i="89"/>
  <c r="D519" i="89"/>
  <c r="F518" i="89"/>
  <c r="E518" i="89"/>
  <c r="D518" i="89"/>
  <c r="C518" i="89"/>
  <c r="F517" i="89"/>
  <c r="D517" i="89"/>
  <c r="F516" i="89"/>
  <c r="D516" i="89"/>
  <c r="F515" i="89"/>
  <c r="D515" i="89"/>
  <c r="F514" i="89"/>
  <c r="D514" i="89"/>
  <c r="F513" i="89"/>
  <c r="D513" i="89"/>
  <c r="F512" i="89"/>
  <c r="D512" i="89"/>
  <c r="C487" i="89" l="1"/>
  <c r="C512" i="89" s="1"/>
  <c r="E487" i="89"/>
  <c r="E512" i="89" s="1"/>
  <c r="C488" i="89"/>
  <c r="C513" i="89" s="1"/>
  <c r="E488" i="89"/>
  <c r="E513" i="89" s="1"/>
  <c r="C489" i="89"/>
  <c r="C514" i="89" s="1"/>
  <c r="E489" i="89"/>
  <c r="E514" i="89" s="1"/>
  <c r="C490" i="89"/>
  <c r="C515" i="89" s="1"/>
  <c r="E490" i="89"/>
  <c r="E515" i="89" s="1"/>
  <c r="C491" i="89"/>
  <c r="C516" i="89" s="1"/>
  <c r="E491" i="89"/>
  <c r="E516" i="89" s="1"/>
  <c r="C492" i="89"/>
  <c r="C517" i="89" s="1"/>
  <c r="E492" i="89"/>
  <c r="E517" i="89" s="1"/>
  <c r="C494" i="89"/>
  <c r="C519" i="89" s="1"/>
  <c r="C495" i="89"/>
  <c r="C520" i="89" s="1"/>
  <c r="E495" i="89"/>
  <c r="E520" i="89" s="1"/>
  <c r="C496" i="89"/>
  <c r="C521" i="89" s="1"/>
  <c r="E496" i="89"/>
  <c r="E521" i="89" s="1"/>
  <c r="C497" i="89"/>
  <c r="C522" i="89" s="1"/>
  <c r="E497" i="89"/>
  <c r="E522" i="89" s="1"/>
  <c r="C498" i="89"/>
  <c r="C523" i="89" s="1"/>
  <c r="E498" i="89"/>
  <c r="E523" i="89" s="1"/>
  <c r="C500" i="89"/>
  <c r="C525" i="89" s="1"/>
  <c r="E500" i="89"/>
  <c r="E525" i="89" s="1"/>
  <c r="C501" i="89"/>
  <c r="C526" i="89" s="1"/>
  <c r="E501" i="89"/>
  <c r="E526" i="89" s="1"/>
  <c r="C502" i="89"/>
  <c r="C527" i="89" s="1"/>
  <c r="E502" i="89"/>
  <c r="E527" i="89" s="1"/>
  <c r="C503" i="89"/>
  <c r="C528" i="89" s="1"/>
  <c r="E503" i="89"/>
  <c r="E528" i="89" s="1"/>
  <c r="C504" i="89"/>
  <c r="C529" i="89" s="1"/>
  <c r="E504" i="89"/>
  <c r="E529" i="89" s="1"/>
  <c r="C505" i="89"/>
  <c r="C530" i="89" s="1"/>
  <c r="E505" i="89"/>
  <c r="E530" i="89" s="1"/>
  <c r="C506" i="89"/>
  <c r="C531" i="89" s="1"/>
  <c r="E506" i="89"/>
  <c r="E531" i="89" s="1"/>
  <c r="C507" i="89"/>
  <c r="C532" i="89" s="1"/>
  <c r="E507" i="89"/>
  <c r="E532" i="89" s="1"/>
  <c r="C508" i="89"/>
  <c r="C533" i="89" s="1"/>
  <c r="E508" i="89"/>
  <c r="E533" i="89" s="1"/>
  <c r="C509" i="89"/>
  <c r="C534" i="89" s="1"/>
  <c r="E509" i="89"/>
  <c r="E534" i="89" s="1"/>
  <c r="C510" i="89"/>
  <c r="C535" i="89" s="1"/>
  <c r="E510" i="89"/>
  <c r="E535" i="89" s="1"/>
  <c r="C511" i="89"/>
  <c r="C536" i="89" s="1"/>
  <c r="E511" i="89"/>
  <c r="E536" i="89" s="1"/>
  <c r="C537" i="89"/>
  <c r="E537" i="89"/>
  <c r="C538" i="89"/>
  <c r="E538" i="89"/>
  <c r="C545" i="89"/>
  <c r="E545" i="89"/>
  <c r="B152" i="77" l="1"/>
  <c r="B151" i="77"/>
  <c r="B150" i="77"/>
  <c r="B149" i="77"/>
  <c r="C458" i="89" l="1"/>
  <c r="AE9" i="82" l="1"/>
  <c r="AG9" i="82" s="1"/>
  <c r="AA9" i="82"/>
  <c r="AC9" i="82" s="1"/>
  <c r="V9" i="82"/>
  <c r="X9" i="82" s="1"/>
  <c r="R9" i="82"/>
  <c r="T9" i="82" s="1"/>
  <c r="N9" i="82"/>
  <c r="P9" i="82" s="1"/>
  <c r="J9" i="82"/>
  <c r="L9" i="82" s="1"/>
  <c r="AE8" i="82"/>
  <c r="AG8" i="82" s="1"/>
  <c r="AA8" i="82"/>
  <c r="AC8" i="82" s="1"/>
  <c r="V8" i="82"/>
  <c r="X8" i="82" s="1"/>
  <c r="R8" i="82"/>
  <c r="T8" i="82" s="1"/>
  <c r="N8" i="82"/>
  <c r="P8" i="82" s="1"/>
  <c r="J8" i="82"/>
  <c r="L8" i="82" s="1"/>
  <c r="AE7" i="82"/>
  <c r="AG7" i="82" s="1"/>
  <c r="AA7" i="82"/>
  <c r="AC7" i="82" s="1"/>
  <c r="V7" i="82"/>
  <c r="X7" i="82" s="1"/>
  <c r="R7" i="82"/>
  <c r="T7" i="82" s="1"/>
  <c r="N7" i="82"/>
  <c r="P7" i="82" s="1"/>
  <c r="J7" i="82"/>
  <c r="L7" i="82" s="1"/>
  <c r="AE6" i="82"/>
  <c r="AG6" i="82" s="1"/>
  <c r="AA6" i="82"/>
  <c r="AC6" i="82" s="1"/>
  <c r="V6" i="82"/>
  <c r="X6" i="82" s="1"/>
  <c r="R6" i="82"/>
  <c r="T6" i="82" s="1"/>
  <c r="N6" i="82"/>
  <c r="P6" i="82" s="1"/>
  <c r="J6" i="82"/>
  <c r="L6" i="82" s="1"/>
  <c r="AE5" i="82"/>
  <c r="AG5" i="82" s="1"/>
  <c r="AA5" i="82"/>
  <c r="AC5" i="82" s="1"/>
  <c r="V5" i="82"/>
  <c r="X5" i="82" s="1"/>
  <c r="R5" i="82"/>
  <c r="T5" i="82" s="1"/>
  <c r="N5" i="82"/>
  <c r="P5" i="82" s="1"/>
  <c r="J5" i="82"/>
  <c r="L5" i="82" s="1"/>
  <c r="V25" i="82"/>
  <c r="X25" i="82" s="1"/>
  <c r="R25" i="82"/>
  <c r="T25" i="82" s="1"/>
  <c r="N25" i="82"/>
  <c r="P25" i="82" s="1"/>
  <c r="J25" i="82"/>
  <c r="L25" i="82" s="1"/>
  <c r="V24" i="82"/>
  <c r="X24" i="82" s="1"/>
  <c r="R24" i="82"/>
  <c r="T24" i="82" s="1"/>
  <c r="N24" i="82"/>
  <c r="P24" i="82" s="1"/>
  <c r="J24" i="82"/>
  <c r="L24" i="82" s="1"/>
  <c r="V23" i="82"/>
  <c r="X23" i="82" s="1"/>
  <c r="R23" i="82"/>
  <c r="T23" i="82" s="1"/>
  <c r="N23" i="82"/>
  <c r="P23" i="82" s="1"/>
  <c r="J23" i="82"/>
  <c r="L23" i="82" s="1"/>
  <c r="V22" i="82"/>
  <c r="X22" i="82" s="1"/>
  <c r="R22" i="82"/>
  <c r="T22" i="82" s="1"/>
  <c r="N22" i="82"/>
  <c r="P22" i="82" s="1"/>
  <c r="J22" i="82"/>
  <c r="L22" i="82" s="1"/>
  <c r="V21" i="82"/>
  <c r="X21" i="82" s="1"/>
  <c r="R21" i="82"/>
  <c r="T21" i="82" s="1"/>
  <c r="N21" i="82"/>
  <c r="P21" i="82" s="1"/>
  <c r="J21" i="82"/>
  <c r="L21" i="82" s="1"/>
  <c r="AH24" i="82" l="1"/>
  <c r="E24" i="82" s="1"/>
  <c r="AH6" i="82"/>
  <c r="E6" i="82" s="1"/>
  <c r="AH5" i="82"/>
  <c r="E5" i="82" s="1"/>
  <c r="AH7" i="82"/>
  <c r="E7" i="82" s="1"/>
  <c r="AH22" i="82"/>
  <c r="E22" i="82" s="1"/>
  <c r="AH9" i="82"/>
  <c r="E9" i="82" s="1"/>
  <c r="AH25" i="82"/>
  <c r="E25" i="82" s="1"/>
  <c r="AH23" i="82"/>
  <c r="E23" i="82" s="1"/>
  <c r="AH8" i="82"/>
  <c r="E8" i="82" s="1"/>
  <c r="AH21" i="82"/>
  <c r="E21" i="82" s="1"/>
  <c r="E424" i="89" l="1"/>
  <c r="C425" i="89"/>
  <c r="C426" i="89"/>
  <c r="E425" i="89"/>
  <c r="E426" i="89"/>
  <c r="EW66" i="38" l="1" a="1"/>
  <c r="EW66" i="38" s="1"/>
  <c r="EV66" i="38" a="1"/>
  <c r="EV66" i="38" s="1"/>
  <c r="EU66" i="38" a="1"/>
  <c r="EU66" i="38" s="1"/>
  <c r="EE66" i="38" a="1"/>
  <c r="EE66" i="38" s="1"/>
  <c r="ES66" i="38" a="1"/>
  <c r="ES66" i="38" s="1"/>
  <c r="EQ66" i="38" a="1"/>
  <c r="EQ66" i="38" s="1"/>
  <c r="EP66" i="38" a="1"/>
  <c r="EP66" i="38" s="1"/>
  <c r="EO66" i="38" a="1"/>
  <c r="EO66" i="38" s="1"/>
  <c r="ET66" i="38" a="1"/>
  <c r="ET66" i="38" s="1"/>
  <c r="EN66" i="38" l="1" a="1"/>
  <c r="EN66" i="38" s="1"/>
  <c r="D40" i="85" l="1"/>
  <c r="D39" i="85" s="1"/>
  <c r="B41" i="85"/>
  <c r="B40" i="85"/>
  <c r="B39" i="85"/>
  <c r="B38" i="85"/>
  <c r="B37" i="85"/>
  <c r="B36" i="85"/>
  <c r="C153" i="77" l="1"/>
  <c r="C152" i="77"/>
  <c r="C151" i="77"/>
  <c r="C150" i="77"/>
  <c r="C149" i="77"/>
  <c r="C148" i="77"/>
  <c r="B153" i="77"/>
  <c r="F417" i="89" l="1"/>
  <c r="D417" i="89"/>
  <c r="G417" i="89"/>
  <c r="H417" i="89"/>
  <c r="I417" i="89"/>
  <c r="J417" i="89"/>
  <c r="H416" i="89"/>
  <c r="I416" i="89"/>
  <c r="J416" i="89"/>
  <c r="D416" i="89"/>
  <c r="F416" i="89"/>
  <c r="G416" i="89"/>
  <c r="C418" i="89"/>
  <c r="C419" i="89"/>
  <c r="C420" i="89"/>
  <c r="C421" i="89"/>
  <c r="C422" i="89"/>
  <c r="C423" i="89"/>
  <c r="E418" i="89"/>
  <c r="E419" i="89"/>
  <c r="E420" i="89"/>
  <c r="E421" i="89"/>
  <c r="E422" i="89"/>
  <c r="E423" i="89"/>
  <c r="C75" i="76" l="1"/>
  <c r="C74" i="76"/>
  <c r="C73" i="76"/>
  <c r="C72" i="76"/>
  <c r="C70" i="76"/>
  <c r="C69" i="76"/>
  <c r="C68" i="76"/>
  <c r="C67" i="76"/>
  <c r="C6" i="76"/>
  <c r="P17" i="193"/>
  <c r="B17" i="193"/>
  <c r="P16" i="193"/>
  <c r="B16" i="193"/>
  <c r="P15" i="193"/>
  <c r="B15" i="193"/>
  <c r="P14" i="193"/>
  <c r="B14" i="193"/>
  <c r="P13" i="193"/>
  <c r="B13" i="193"/>
  <c r="H157" i="100"/>
  <c r="F157" i="100"/>
  <c r="H155" i="100"/>
  <c r="F155" i="100"/>
  <c r="H154" i="100"/>
  <c r="F154" i="100"/>
  <c r="K62" i="100"/>
  <c r="J62" i="100"/>
  <c r="I62" i="100"/>
  <c r="H62" i="100"/>
  <c r="G62" i="100"/>
  <c r="F62" i="100"/>
  <c r="E62" i="100"/>
  <c r="D62" i="100"/>
  <c r="K61" i="100"/>
  <c r="J61" i="100"/>
  <c r="I61" i="100"/>
  <c r="H61" i="100"/>
  <c r="G61" i="100"/>
  <c r="F61" i="100"/>
  <c r="E61" i="100"/>
  <c r="D61" i="100"/>
  <c r="C61"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K51" i="100"/>
  <c r="J51" i="100"/>
  <c r="I51" i="100"/>
  <c r="H51" i="100"/>
  <c r="G51" i="100"/>
  <c r="F51" i="100"/>
  <c r="E51" i="100"/>
  <c r="D51" i="100"/>
  <c r="K50" i="100"/>
  <c r="J50" i="100"/>
  <c r="I50" i="100"/>
  <c r="H50" i="100"/>
  <c r="G50" i="100"/>
  <c r="F50" i="100"/>
  <c r="E50" i="100"/>
  <c r="D50" i="100"/>
  <c r="C50" i="100"/>
  <c r="K49" i="100"/>
  <c r="J49" i="100"/>
  <c r="I49" i="100"/>
  <c r="H49" i="100"/>
  <c r="G49" i="100"/>
  <c r="F49" i="100"/>
  <c r="E49" i="100"/>
  <c r="D49" i="100"/>
  <c r="K48" i="100"/>
  <c r="J48" i="100"/>
  <c r="I48" i="100"/>
  <c r="H48" i="100"/>
  <c r="G48" i="100"/>
  <c r="F48" i="100"/>
  <c r="E48" i="100"/>
  <c r="D48" i="100"/>
  <c r="H40" i="100"/>
  <c r="F40" i="100"/>
  <c r="K39" i="100"/>
  <c r="J39" i="100"/>
  <c r="I39" i="100"/>
  <c r="H39" i="100"/>
  <c r="G39" i="100"/>
  <c r="F39" i="100"/>
  <c r="C39" i="100"/>
  <c r="K37" i="100"/>
  <c r="J37" i="100"/>
  <c r="I37" i="100"/>
  <c r="H37" i="100"/>
  <c r="G37" i="100"/>
  <c r="F37" i="100"/>
  <c r="E37" i="100"/>
  <c r="D37" i="100"/>
  <c r="K36" i="100"/>
  <c r="J36" i="100"/>
  <c r="I36" i="100"/>
  <c r="H36" i="100"/>
  <c r="G36" i="100"/>
  <c r="F36" i="100"/>
  <c r="E36" i="100"/>
  <c r="D36" i="100"/>
  <c r="K34" i="100"/>
  <c r="J34" i="100"/>
  <c r="I34" i="100"/>
  <c r="H34" i="100"/>
  <c r="G34" i="100"/>
  <c r="F34" i="100"/>
  <c r="E34" i="100"/>
  <c r="D34" i="100"/>
  <c r="K33" i="100"/>
  <c r="J33" i="100"/>
  <c r="K32" i="100"/>
  <c r="J32" i="100"/>
  <c r="K29" i="100"/>
  <c r="K35" i="100" s="1"/>
  <c r="J29" i="100"/>
  <c r="J35" i="100" s="1"/>
  <c r="I29" i="100"/>
  <c r="I35" i="100" s="1"/>
  <c r="H29" i="100"/>
  <c r="H35" i="100" s="1"/>
  <c r="G29" i="100"/>
  <c r="G35" i="100" s="1"/>
  <c r="F29" i="100"/>
  <c r="F35" i="100" s="1"/>
  <c r="E29" i="100"/>
  <c r="E35" i="100" s="1"/>
  <c r="D29" i="100"/>
  <c r="D35" i="100" s="1"/>
  <c r="K10" i="100"/>
  <c r="J10" i="100"/>
  <c r="I10" i="100"/>
  <c r="I8" i="100" s="1"/>
  <c r="H10" i="100"/>
  <c r="G10" i="100"/>
  <c r="G8" i="100" s="1"/>
  <c r="F10" i="100"/>
  <c r="E10" i="100"/>
  <c r="D10" i="100"/>
  <c r="K9" i="100"/>
  <c r="J9" i="100"/>
  <c r="I9" i="100"/>
  <c r="H9" i="100"/>
  <c r="G9" i="100"/>
  <c r="F9" i="100"/>
  <c r="E9" i="100"/>
  <c r="D9" i="100"/>
  <c r="K8" i="100"/>
  <c r="J8" i="100"/>
  <c r="I5" i="100"/>
  <c r="G5" i="100"/>
  <c r="E23" i="104"/>
  <c r="C23" i="104"/>
  <c r="E22" i="104"/>
  <c r="C22" i="104"/>
  <c r="E21" i="104"/>
  <c r="C21" i="104"/>
  <c r="E20" i="104"/>
  <c r="C20" i="104"/>
  <c r="E19" i="104"/>
  <c r="C19" i="104"/>
  <c r="E18" i="104"/>
  <c r="C18" i="104"/>
  <c r="E17" i="104"/>
  <c r="C17" i="104"/>
  <c r="E16" i="104"/>
  <c r="C16" i="104"/>
  <c r="E15" i="104"/>
  <c r="C15" i="104"/>
  <c r="E14" i="104"/>
  <c r="C14" i="104"/>
  <c r="E13" i="104"/>
  <c r="C13" i="104"/>
  <c r="F12" i="104"/>
  <c r="E12" i="104"/>
  <c r="D12" i="104"/>
  <c r="C12" i="104"/>
  <c r="E11" i="104"/>
  <c r="C11" i="104"/>
  <c r="E10" i="104"/>
  <c r="C10" i="104"/>
  <c r="E9" i="104"/>
  <c r="C9" i="104"/>
  <c r="E8" i="104"/>
  <c r="C8" i="104"/>
  <c r="E7" i="104"/>
  <c r="C7" i="104"/>
  <c r="E6" i="104"/>
  <c r="C6" i="104"/>
  <c r="E5" i="104"/>
  <c r="C5" i="104"/>
  <c r="E4" i="104"/>
  <c r="C4" i="104"/>
  <c r="E452" i="89"/>
  <c r="C452" i="89"/>
  <c r="E451" i="89"/>
  <c r="C451" i="89"/>
  <c r="E450" i="89"/>
  <c r="C450" i="89"/>
  <c r="E449" i="89"/>
  <c r="C449" i="89"/>
  <c r="E448" i="89"/>
  <c r="C448" i="89"/>
  <c r="E447" i="89"/>
  <c r="C447" i="89"/>
  <c r="E446" i="89"/>
  <c r="C446" i="89"/>
  <c r="E445" i="89"/>
  <c r="C445" i="89"/>
  <c r="E444" i="89"/>
  <c r="C444" i="89"/>
  <c r="E443" i="89"/>
  <c r="C443" i="89"/>
  <c r="E442" i="89"/>
  <c r="C442" i="89"/>
  <c r="E441" i="89"/>
  <c r="C441" i="89"/>
  <c r="E440" i="89"/>
  <c r="C440" i="89"/>
  <c r="E439" i="89"/>
  <c r="C439" i="89"/>
  <c r="E438" i="89"/>
  <c r="C438" i="89"/>
  <c r="E437" i="89"/>
  <c r="C437" i="89"/>
  <c r="E436" i="89"/>
  <c r="C436" i="89"/>
  <c r="E435" i="89"/>
  <c r="E417" i="89" s="1"/>
  <c r="C435" i="89"/>
  <c r="C417" i="89" s="1"/>
  <c r="E434" i="89"/>
  <c r="C434" i="89"/>
  <c r="E433" i="89"/>
  <c r="C433" i="89"/>
  <c r="E432" i="89"/>
  <c r="C432" i="89"/>
  <c r="E431" i="89"/>
  <c r="C431" i="89"/>
  <c r="E430" i="89"/>
  <c r="C430" i="89"/>
  <c r="E429" i="89"/>
  <c r="E416" i="89" s="1"/>
  <c r="C429" i="89"/>
  <c r="C416" i="89" s="1"/>
  <c r="E428" i="89"/>
  <c r="C428" i="89"/>
  <c r="E427" i="89"/>
  <c r="C427" i="89"/>
  <c r="E415" i="89"/>
  <c r="C415" i="89"/>
  <c r="E414" i="89"/>
  <c r="C414" i="89"/>
  <c r="E413" i="89"/>
  <c r="C413" i="89"/>
  <c r="E412" i="89"/>
  <c r="C412" i="89"/>
  <c r="E411" i="89"/>
  <c r="C411" i="89"/>
  <c r="E410" i="89"/>
  <c r="C410" i="89"/>
  <c r="E409" i="89"/>
  <c r="C409" i="89"/>
  <c r="E408" i="89"/>
  <c r="C408" i="89"/>
  <c r="E407" i="89"/>
  <c r="C407" i="89"/>
  <c r="E406" i="89"/>
  <c r="C406" i="89"/>
  <c r="E405" i="89"/>
  <c r="C405" i="89"/>
  <c r="E404" i="89"/>
  <c r="C404" i="89"/>
  <c r="E403" i="89"/>
  <c r="C403" i="89"/>
  <c r="E402" i="89"/>
  <c r="C402" i="89"/>
  <c r="E401" i="89"/>
  <c r="C401" i="89"/>
  <c r="E400" i="89"/>
  <c r="C400" i="89"/>
  <c r="E399" i="89"/>
  <c r="C399" i="89"/>
  <c r="E398" i="89"/>
  <c r="C398" i="89"/>
  <c r="E397" i="89"/>
  <c r="C397" i="89"/>
  <c r="C391" i="89"/>
  <c r="E391" i="89" s="1"/>
  <c r="C390" i="89"/>
  <c r="E390" i="89" s="1"/>
  <c r="E389" i="89"/>
  <c r="C388" i="89"/>
  <c r="E388" i="89" s="1"/>
  <c r="C387" i="89"/>
  <c r="E387" i="89" s="1"/>
  <c r="E386" i="89"/>
  <c r="C385" i="89"/>
  <c r="E385" i="89" s="1"/>
  <c r="E384" i="89"/>
  <c r="C383" i="89"/>
  <c r="E383" i="89" s="1"/>
  <c r="E378" i="89"/>
  <c r="C378" i="89"/>
  <c r="E373" i="89"/>
  <c r="C373" i="89"/>
  <c r="E368" i="89"/>
  <c r="C368" i="89"/>
  <c r="E367" i="89"/>
  <c r="C367" i="89"/>
  <c r="E366" i="89"/>
  <c r="C366" i="89"/>
  <c r="E365" i="89"/>
  <c r="C365" i="89"/>
  <c r="E364" i="89"/>
  <c r="C364" i="89"/>
  <c r="E363" i="89"/>
  <c r="C363" i="89"/>
  <c r="E362" i="89"/>
  <c r="C362" i="89"/>
  <c r="E361" i="89"/>
  <c r="C361" i="89"/>
  <c r="E360" i="89"/>
  <c r="C360" i="89"/>
  <c r="E359" i="89"/>
  <c r="C359" i="89"/>
  <c r="E358" i="89"/>
  <c r="C358" i="89"/>
  <c r="E357" i="89"/>
  <c r="C357" i="89"/>
  <c r="E356" i="89"/>
  <c r="C356" i="89"/>
  <c r="E355" i="89"/>
  <c r="C355" i="89"/>
  <c r="E354" i="89"/>
  <c r="C354" i="89"/>
  <c r="E353" i="89"/>
  <c r="C353" i="89"/>
  <c r="E352" i="89"/>
  <c r="C352" i="89"/>
  <c r="E351" i="89"/>
  <c r="C351" i="89"/>
  <c r="E350" i="89"/>
  <c r="C350" i="89"/>
  <c r="E349" i="89"/>
  <c r="C349" i="89"/>
  <c r="E348" i="89"/>
  <c r="C348" i="89"/>
  <c r="E347" i="89"/>
  <c r="C347" i="89"/>
  <c r="E346" i="89"/>
  <c r="C346" i="89"/>
  <c r="F345" i="89"/>
  <c r="F346" i="89" s="1"/>
  <c r="F347" i="89" s="1"/>
  <c r="F348" i="89" s="1"/>
  <c r="F349" i="89" s="1"/>
  <c r="F350" i="89" s="1"/>
  <c r="F351" i="89" s="1"/>
  <c r="F352" i="89" s="1"/>
  <c r="E345" i="89"/>
  <c r="D345" i="89"/>
  <c r="D346" i="89" s="1"/>
  <c r="D347" i="89" s="1"/>
  <c r="D348" i="89" s="1"/>
  <c r="D349" i="89" s="1"/>
  <c r="D350" i="89" s="1"/>
  <c r="D351" i="89" s="1"/>
  <c r="D352" i="89" s="1"/>
  <c r="C345" i="89"/>
  <c r="E344" i="89"/>
  <c r="C344" i="89"/>
  <c r="E343" i="89"/>
  <c r="C343" i="89"/>
  <c r="E342" i="89"/>
  <c r="C342" i="89"/>
  <c r="E341" i="89"/>
  <c r="C341" i="89"/>
  <c r="E340" i="89"/>
  <c r="C340" i="89"/>
  <c r="E339" i="89"/>
  <c r="C339" i="89"/>
  <c r="J338" i="89"/>
  <c r="E338" i="89" s="1"/>
  <c r="H338" i="89"/>
  <c r="C338" i="89" s="1"/>
  <c r="F338" i="89"/>
  <c r="D338" i="89"/>
  <c r="J337" i="89"/>
  <c r="E337" i="89" s="1"/>
  <c r="H337" i="89"/>
  <c r="C337" i="89" s="1"/>
  <c r="F337" i="89"/>
  <c r="D337" i="89"/>
  <c r="J336" i="89"/>
  <c r="E336" i="89" s="1"/>
  <c r="H336" i="89"/>
  <c r="C336" i="89" s="1"/>
  <c r="F336" i="89"/>
  <c r="D336" i="89"/>
  <c r="J335" i="89"/>
  <c r="E335" i="89" s="1"/>
  <c r="H335" i="89"/>
  <c r="C335" i="89" s="1"/>
  <c r="F335" i="89"/>
  <c r="D335" i="89"/>
  <c r="J334" i="89"/>
  <c r="E334" i="89" s="1"/>
  <c r="H334" i="89"/>
  <c r="C334" i="89" s="1"/>
  <c r="F334" i="89"/>
  <c r="D334" i="89"/>
  <c r="J333" i="89"/>
  <c r="E333" i="89" s="1"/>
  <c r="H333" i="89"/>
  <c r="C333" i="89" s="1"/>
  <c r="E332" i="89"/>
  <c r="C332" i="89"/>
  <c r="E331" i="89"/>
  <c r="C331" i="89"/>
  <c r="E330" i="89"/>
  <c r="C330" i="89"/>
  <c r="E329" i="89"/>
  <c r="C329" i="89"/>
  <c r="E328" i="89"/>
  <c r="C328" i="89"/>
  <c r="E327" i="89"/>
  <c r="C327" i="89"/>
  <c r="E326" i="89"/>
  <c r="C326" i="89"/>
  <c r="E325" i="89"/>
  <c r="C325" i="89"/>
  <c r="E324" i="89"/>
  <c r="C324" i="89"/>
  <c r="E323" i="89"/>
  <c r="C323" i="89"/>
  <c r="E318" i="89"/>
  <c r="C318" i="89"/>
  <c r="E317" i="89"/>
  <c r="C317" i="89"/>
  <c r="E316" i="89"/>
  <c r="C316" i="89"/>
  <c r="E315" i="89"/>
  <c r="C315" i="89"/>
  <c r="E314" i="89"/>
  <c r="C314" i="89"/>
  <c r="E313" i="89"/>
  <c r="C313" i="89"/>
  <c r="E312" i="89"/>
  <c r="C312" i="89"/>
  <c r="E311" i="89"/>
  <c r="C311" i="89"/>
  <c r="E310" i="89"/>
  <c r="C310" i="89"/>
  <c r="E309" i="89"/>
  <c r="C309" i="89"/>
  <c r="E308" i="89"/>
  <c r="C308" i="89"/>
  <c r="E307" i="89"/>
  <c r="C307" i="89"/>
  <c r="E306" i="89"/>
  <c r="C306" i="89"/>
  <c r="E305" i="89"/>
  <c r="C305" i="89"/>
  <c r="E304" i="89"/>
  <c r="C304" i="89"/>
  <c r="E303" i="89"/>
  <c r="C303" i="89"/>
  <c r="E302" i="89"/>
  <c r="C302" i="89"/>
  <c r="E297" i="89"/>
  <c r="C297" i="89"/>
  <c r="E296" i="89"/>
  <c r="C296" i="89"/>
  <c r="E295" i="89"/>
  <c r="C295" i="89"/>
  <c r="E294" i="89"/>
  <c r="C294" i="89"/>
  <c r="E293" i="89"/>
  <c r="C293" i="89"/>
  <c r="E292" i="89"/>
  <c r="C292" i="89"/>
  <c r="E291" i="89"/>
  <c r="C291" i="89"/>
  <c r="E290" i="89"/>
  <c r="C290" i="89"/>
  <c r="E289" i="89"/>
  <c r="C289" i="89"/>
  <c r="E288" i="89"/>
  <c r="C288" i="89"/>
  <c r="E287" i="89"/>
  <c r="C287" i="89"/>
  <c r="E286" i="89"/>
  <c r="C286" i="89"/>
  <c r="E285" i="89"/>
  <c r="C285" i="89"/>
  <c r="E283" i="89"/>
  <c r="C283" i="89"/>
  <c r="E282" i="89"/>
  <c r="C282" i="89"/>
  <c r="E281" i="89"/>
  <c r="C281" i="89"/>
  <c r="E280" i="89"/>
  <c r="C280" i="89"/>
  <c r="E279" i="89"/>
  <c r="C279" i="89"/>
  <c r="E278" i="89"/>
  <c r="C278" i="89"/>
  <c r="E277" i="89"/>
  <c r="C277" i="89"/>
  <c r="E276" i="89"/>
  <c r="C276" i="89"/>
  <c r="E275" i="89"/>
  <c r="C275" i="89"/>
  <c r="E274" i="89"/>
  <c r="C274" i="89"/>
  <c r="E269" i="89"/>
  <c r="C269" i="89"/>
  <c r="E268" i="89"/>
  <c r="C268" i="89"/>
  <c r="E267" i="89"/>
  <c r="C267" i="89"/>
  <c r="E266" i="89"/>
  <c r="C266" i="89"/>
  <c r="E265" i="89"/>
  <c r="C265" i="89"/>
  <c r="E264" i="89"/>
  <c r="C264" i="89"/>
  <c r="E263" i="89"/>
  <c r="C263" i="89"/>
  <c r="E262" i="89"/>
  <c r="C262" i="89"/>
  <c r="E261" i="89"/>
  <c r="C261" i="89"/>
  <c r="E260" i="89"/>
  <c r="C260" i="89"/>
  <c r="E259" i="89"/>
  <c r="C259" i="89"/>
  <c r="E258" i="89"/>
  <c r="C258" i="89"/>
  <c r="E257" i="89"/>
  <c r="C257" i="89"/>
  <c r="E256" i="89"/>
  <c r="C256" i="89"/>
  <c r="E255" i="89"/>
  <c r="C255" i="89"/>
  <c r="E254" i="89"/>
  <c r="C254" i="89"/>
  <c r="E253" i="89"/>
  <c r="C253" i="89"/>
  <c r="E252" i="89"/>
  <c r="C252" i="89"/>
  <c r="E251" i="89"/>
  <c r="C251" i="89"/>
  <c r="E250" i="89"/>
  <c r="C250" i="89"/>
  <c r="E249" i="89"/>
  <c r="C249" i="89"/>
  <c r="E248" i="89"/>
  <c r="C248" i="89"/>
  <c r="E247" i="89"/>
  <c r="C247" i="89"/>
  <c r="E246" i="89"/>
  <c r="C246" i="89"/>
  <c r="E245" i="89"/>
  <c r="C245" i="89"/>
  <c r="E244" i="89"/>
  <c r="C244" i="89"/>
  <c r="E243" i="89"/>
  <c r="C243" i="89"/>
  <c r="E242" i="89"/>
  <c r="C242" i="89"/>
  <c r="E237" i="89"/>
  <c r="C237" i="89"/>
  <c r="E236" i="89"/>
  <c r="C236" i="89"/>
  <c r="E235" i="89"/>
  <c r="C235" i="89"/>
  <c r="E234" i="89"/>
  <c r="C234" i="89"/>
  <c r="E233" i="89"/>
  <c r="C233" i="89"/>
  <c r="E232" i="89"/>
  <c r="C232" i="89"/>
  <c r="E231" i="89"/>
  <c r="C231" i="89"/>
  <c r="E230" i="89"/>
  <c r="C230" i="89"/>
  <c r="E229" i="89"/>
  <c r="C229" i="89"/>
  <c r="E228" i="89"/>
  <c r="C228" i="89"/>
  <c r="E227" i="89"/>
  <c r="C227" i="89"/>
  <c r="E226" i="89"/>
  <c r="C226" i="89"/>
  <c r="E225" i="89"/>
  <c r="C225" i="89"/>
  <c r="E224" i="89"/>
  <c r="C224" i="89"/>
  <c r="E223" i="89"/>
  <c r="C223" i="89"/>
  <c r="E222" i="89"/>
  <c r="C222" i="89"/>
  <c r="E221" i="89"/>
  <c r="C221" i="89"/>
  <c r="E220" i="89"/>
  <c r="C220" i="89"/>
  <c r="E219" i="89"/>
  <c r="C219" i="89"/>
  <c r="E218" i="89"/>
  <c r="C218" i="89"/>
  <c r="E217" i="89"/>
  <c r="C217" i="89"/>
  <c r="E216" i="89"/>
  <c r="C216" i="89"/>
  <c r="E215" i="89"/>
  <c r="C215" i="89"/>
  <c r="E214" i="89"/>
  <c r="C214" i="89"/>
  <c r="E213" i="89"/>
  <c r="C213" i="89"/>
  <c r="E212" i="89"/>
  <c r="C212" i="89"/>
  <c r="E211" i="89"/>
  <c r="C211" i="89"/>
  <c r="E210" i="89"/>
  <c r="C210" i="89"/>
  <c r="E209" i="89"/>
  <c r="C209" i="89"/>
  <c r="E208" i="89"/>
  <c r="C208" i="89"/>
  <c r="E207" i="89"/>
  <c r="C207" i="89"/>
  <c r="E206" i="89"/>
  <c r="C206" i="89"/>
  <c r="E205" i="89"/>
  <c r="C205" i="89"/>
  <c r="E204" i="89"/>
  <c r="C204" i="89"/>
  <c r="E203" i="89"/>
  <c r="C203" i="89"/>
  <c r="E202" i="89"/>
  <c r="C202" i="89"/>
  <c r="E201" i="89"/>
  <c r="C201" i="89"/>
  <c r="E200" i="89"/>
  <c r="C200" i="89"/>
  <c r="E199" i="89"/>
  <c r="C199" i="89"/>
  <c r="E198" i="89"/>
  <c r="C198" i="89"/>
  <c r="E197" i="89"/>
  <c r="C197" i="89"/>
  <c r="E196" i="89"/>
  <c r="C196" i="89"/>
  <c r="E195" i="89"/>
  <c r="C195" i="89"/>
  <c r="E194" i="89"/>
  <c r="C194" i="89"/>
  <c r="E193" i="89"/>
  <c r="C193" i="89"/>
  <c r="E192" i="89"/>
  <c r="C192" i="89"/>
  <c r="E191" i="89"/>
  <c r="C191" i="89"/>
  <c r="E190" i="89"/>
  <c r="C190" i="89"/>
  <c r="E189" i="89"/>
  <c r="C189" i="89"/>
  <c r="E184" i="89"/>
  <c r="C184" i="89"/>
  <c r="E183" i="89"/>
  <c r="C183" i="89"/>
  <c r="K182" i="89"/>
  <c r="E182" i="89"/>
  <c r="C182" i="89"/>
  <c r="K181" i="89"/>
  <c r="E181" i="89"/>
  <c r="C181" i="89"/>
  <c r="K180" i="89"/>
  <c r="E180" i="89"/>
  <c r="C180" i="89"/>
  <c r="K179" i="89"/>
  <c r="E179" i="89"/>
  <c r="C179" i="89"/>
  <c r="E178" i="89"/>
  <c r="C178" i="89"/>
  <c r="E177" i="89"/>
  <c r="C177" i="89"/>
  <c r="E176" i="89"/>
  <c r="C176" i="89"/>
  <c r="E175" i="89"/>
  <c r="C175" i="89"/>
  <c r="K174" i="89"/>
  <c r="E174" i="89"/>
  <c r="C174" i="89"/>
  <c r="E173" i="89"/>
  <c r="C173" i="89"/>
  <c r="E172" i="89"/>
  <c r="C172" i="89"/>
  <c r="E171" i="89"/>
  <c r="C171" i="89"/>
  <c r="E170" i="89"/>
  <c r="C170" i="89"/>
  <c r="E169" i="89"/>
  <c r="C169" i="89"/>
  <c r="E168" i="89"/>
  <c r="C168" i="89"/>
  <c r="E167" i="89"/>
  <c r="C167" i="89"/>
  <c r="E166" i="89"/>
  <c r="C166" i="89"/>
  <c r="E165" i="89"/>
  <c r="C165" i="89"/>
  <c r="E164" i="89"/>
  <c r="C164" i="89"/>
  <c r="E163" i="89"/>
  <c r="C163" i="89"/>
  <c r="E162" i="89"/>
  <c r="C162" i="89"/>
  <c r="E161" i="89"/>
  <c r="C161" i="89"/>
  <c r="E160" i="89"/>
  <c r="C160" i="89"/>
  <c r="E159" i="89"/>
  <c r="C159" i="89"/>
  <c r="E158" i="89"/>
  <c r="C158" i="89"/>
  <c r="E157" i="89"/>
  <c r="C157" i="89"/>
  <c r="E156" i="89"/>
  <c r="C156" i="89"/>
  <c r="E155" i="89"/>
  <c r="C155" i="89"/>
  <c r="E154" i="89"/>
  <c r="C154" i="89"/>
  <c r="E153" i="89"/>
  <c r="C153" i="89"/>
  <c r="E152" i="89"/>
  <c r="C152" i="89"/>
  <c r="E151" i="89"/>
  <c r="C151" i="89"/>
  <c r="E150" i="89"/>
  <c r="C150" i="89"/>
  <c r="E149" i="89"/>
  <c r="C149" i="89"/>
  <c r="E148" i="89"/>
  <c r="C148" i="89"/>
  <c r="E147" i="89"/>
  <c r="C147" i="89"/>
  <c r="E146" i="89"/>
  <c r="C146" i="89"/>
  <c r="E145" i="89"/>
  <c r="C145" i="89"/>
  <c r="E144" i="89"/>
  <c r="C144" i="89"/>
  <c r="E143" i="89"/>
  <c r="C143" i="89"/>
  <c r="E142" i="89"/>
  <c r="C142" i="89"/>
  <c r="E141" i="89"/>
  <c r="C141" i="89"/>
  <c r="E140" i="89"/>
  <c r="C140" i="89"/>
  <c r="E139" i="89"/>
  <c r="C139" i="89"/>
  <c r="E138" i="89"/>
  <c r="C138" i="89"/>
  <c r="E137" i="89"/>
  <c r="C137" i="89"/>
  <c r="E136" i="89"/>
  <c r="C136" i="89"/>
  <c r="E135" i="89"/>
  <c r="C135" i="89"/>
  <c r="E130" i="89"/>
  <c r="C130" i="89"/>
  <c r="E129" i="89"/>
  <c r="C129" i="89"/>
  <c r="E128" i="89"/>
  <c r="C128" i="89"/>
  <c r="E127" i="89"/>
  <c r="C127" i="89"/>
  <c r="E126" i="89"/>
  <c r="C126" i="89"/>
  <c r="E125" i="89"/>
  <c r="C125" i="89"/>
  <c r="E124" i="89"/>
  <c r="C124" i="89"/>
  <c r="E123" i="89"/>
  <c r="C123" i="89"/>
  <c r="E122" i="89"/>
  <c r="C122" i="89"/>
  <c r="E121" i="89"/>
  <c r="C121" i="89"/>
  <c r="E120" i="89"/>
  <c r="C120" i="89"/>
  <c r="E119" i="89"/>
  <c r="C119" i="89"/>
  <c r="E118" i="89"/>
  <c r="C118" i="89"/>
  <c r="E117" i="89"/>
  <c r="C117" i="89"/>
  <c r="E116" i="89"/>
  <c r="C116" i="89"/>
  <c r="E115" i="89"/>
  <c r="C115" i="89"/>
  <c r="E114" i="89"/>
  <c r="C114" i="89"/>
  <c r="E87" i="89"/>
  <c r="C87" i="89"/>
  <c r="E86" i="89"/>
  <c r="C86" i="89"/>
  <c r="E85" i="89"/>
  <c r="C85" i="89"/>
  <c r="E84" i="89"/>
  <c r="C84" i="89"/>
  <c r="E83" i="89"/>
  <c r="C83" i="89"/>
  <c r="E82" i="89"/>
  <c r="C82" i="89"/>
  <c r="E81" i="89"/>
  <c r="C81" i="89"/>
  <c r="E80" i="89"/>
  <c r="C80" i="89"/>
  <c r="E79" i="89"/>
  <c r="C79" i="89"/>
  <c r="E78" i="89"/>
  <c r="C78" i="89"/>
  <c r="E77" i="89"/>
  <c r="C77" i="89"/>
  <c r="E76" i="89"/>
  <c r="C76" i="89"/>
  <c r="E75" i="89"/>
  <c r="C75" i="89"/>
  <c r="E74" i="89"/>
  <c r="C74" i="89"/>
  <c r="E73" i="89"/>
  <c r="C73" i="89"/>
  <c r="E72" i="89"/>
  <c r="C72" i="89"/>
  <c r="E71" i="89"/>
  <c r="C71" i="89"/>
  <c r="E70" i="89"/>
  <c r="C70" i="89"/>
  <c r="E69" i="89"/>
  <c r="C69" i="89"/>
  <c r="E68" i="89"/>
  <c r="C68" i="89"/>
  <c r="E67" i="89"/>
  <c r="C67" i="89"/>
  <c r="E66" i="89"/>
  <c r="C66" i="89"/>
  <c r="E65" i="89"/>
  <c r="C65" i="89"/>
  <c r="E64" i="89"/>
  <c r="C64" i="89"/>
  <c r="E63" i="89"/>
  <c r="C63" i="89"/>
  <c r="E62" i="89"/>
  <c r="C62" i="89"/>
  <c r="E61" i="89"/>
  <c r="C61" i="89"/>
  <c r="E60" i="89"/>
  <c r="C60" i="89"/>
  <c r="E59" i="89"/>
  <c r="C59" i="89"/>
  <c r="E58" i="89"/>
  <c r="C58" i="89"/>
  <c r="E57" i="89"/>
  <c r="C57" i="89"/>
  <c r="E56" i="89"/>
  <c r="C56" i="89"/>
  <c r="E55" i="89"/>
  <c r="C55" i="89"/>
  <c r="E54" i="89"/>
  <c r="C54" i="89"/>
  <c r="E53" i="89"/>
  <c r="C53" i="89"/>
  <c r="E52" i="89"/>
  <c r="C52" i="89"/>
  <c r="E51" i="89"/>
  <c r="C51" i="89"/>
  <c r="E50" i="89"/>
  <c r="C50" i="89"/>
  <c r="E49" i="89"/>
  <c r="C49" i="89"/>
  <c r="E48" i="89"/>
  <c r="C48" i="89"/>
  <c r="E47" i="89"/>
  <c r="C47" i="89"/>
  <c r="E46" i="89"/>
  <c r="C46" i="89"/>
  <c r="E45" i="89"/>
  <c r="C45" i="89"/>
  <c r="E44" i="89"/>
  <c r="C44" i="89"/>
  <c r="E43" i="89"/>
  <c r="C43" i="89"/>
  <c r="E42" i="89"/>
  <c r="C42" i="89"/>
  <c r="E41" i="89"/>
  <c r="C41" i="89"/>
  <c r="E40" i="89"/>
  <c r="C40" i="89"/>
  <c r="E39" i="89"/>
  <c r="C39" i="89"/>
  <c r="E38" i="89"/>
  <c r="C38" i="89"/>
  <c r="E37" i="89"/>
  <c r="C37" i="89"/>
  <c r="E36" i="89"/>
  <c r="C36" i="89"/>
  <c r="E35" i="89"/>
  <c r="C35" i="89"/>
  <c r="E34" i="89"/>
  <c r="C34" i="89"/>
  <c r="E33" i="89"/>
  <c r="C33" i="89"/>
  <c r="E32" i="89"/>
  <c r="C32" i="89"/>
  <c r="E31" i="89"/>
  <c r="C31" i="89"/>
  <c r="E30" i="89"/>
  <c r="C30" i="89"/>
  <c r="E29" i="89"/>
  <c r="C29" i="89"/>
  <c r="E28" i="89"/>
  <c r="C28" i="89"/>
  <c r="E27" i="89"/>
  <c r="C27" i="89"/>
  <c r="E26" i="89"/>
  <c r="C26" i="89"/>
  <c r="E25" i="89"/>
  <c r="C25" i="89"/>
  <c r="E24" i="89"/>
  <c r="C24" i="89"/>
  <c r="E23" i="89"/>
  <c r="C23" i="89"/>
  <c r="E22" i="89"/>
  <c r="C22" i="89"/>
  <c r="E21" i="89"/>
  <c r="C21" i="89"/>
  <c r="E20" i="89"/>
  <c r="C20" i="89"/>
  <c r="E19" i="89"/>
  <c r="C19" i="89"/>
  <c r="E18" i="89"/>
  <c r="C18" i="89"/>
  <c r="E17" i="89"/>
  <c r="C17" i="89"/>
  <c r="E16" i="89"/>
  <c r="C16" i="89"/>
  <c r="E15" i="89"/>
  <c r="C15" i="89"/>
  <c r="E14" i="89"/>
  <c r="C14" i="89"/>
  <c r="E13" i="89"/>
  <c r="C13" i="89"/>
  <c r="E12" i="89"/>
  <c r="C12" i="89"/>
  <c r="E11" i="89"/>
  <c r="C11" i="89"/>
  <c r="E10" i="89"/>
  <c r="C10" i="89"/>
  <c r="E9" i="89"/>
  <c r="C9" i="89"/>
  <c r="I8" i="89"/>
  <c r="E8" i="89" s="1"/>
  <c r="G8" i="89"/>
  <c r="C8" i="89" s="1"/>
  <c r="F8" i="89"/>
  <c r="D8" i="89"/>
  <c r="E7" i="89"/>
  <c r="C7" i="89"/>
  <c r="E6" i="89"/>
  <c r="C6" i="89"/>
  <c r="C295" i="77"/>
  <c r="B295" i="77"/>
  <c r="C226" i="77"/>
  <c r="B226" i="77"/>
  <c r="C178" i="77"/>
  <c r="B178" i="77"/>
  <c r="C177" i="77"/>
  <c r="B177" i="77"/>
  <c r="C176" i="77"/>
  <c r="B176" i="77"/>
  <c r="C160" i="77"/>
  <c r="B160" i="77"/>
  <c r="C159" i="77"/>
  <c r="B159" i="77"/>
  <c r="C158" i="77"/>
  <c r="B158" i="77"/>
  <c r="C156" i="77"/>
  <c r="B156" i="77"/>
  <c r="B148" i="77"/>
  <c r="C147" i="77"/>
  <c r="B147" i="77"/>
  <c r="C146" i="77"/>
  <c r="B146" i="77"/>
  <c r="C145" i="77"/>
  <c r="B145" i="77"/>
  <c r="C144" i="77"/>
  <c r="B144" i="77"/>
  <c r="C143" i="77"/>
  <c r="B143" i="77"/>
  <c r="C142" i="77"/>
  <c r="B142" i="77"/>
  <c r="C141" i="77"/>
  <c r="B141" i="77"/>
  <c r="C140" i="77"/>
  <c r="B140" i="77"/>
  <c r="C139" i="77"/>
  <c r="C138" i="77"/>
  <c r="C132" i="77"/>
  <c r="B132" i="77"/>
  <c r="C131" i="77"/>
  <c r="B131" i="77"/>
  <c r="C127" i="77"/>
  <c r="C125" i="77"/>
  <c r="C33" i="77"/>
  <c r="B33" i="77"/>
  <c r="E25" i="77"/>
  <c r="E23" i="77"/>
  <c r="E22" i="77"/>
  <c r="E21" i="77"/>
  <c r="E20" i="77"/>
  <c r="E19" i="77"/>
  <c r="E18" i="77"/>
  <c r="E12" i="77"/>
  <c r="E11" i="77"/>
  <c r="E9" i="77"/>
  <c r="E8" i="77"/>
  <c r="E7" i="77"/>
  <c r="E6" i="77"/>
  <c r="E3" i="77"/>
  <c r="AW40" i="85"/>
  <c r="L40" i="85"/>
  <c r="L41" i="85" s="1"/>
  <c r="L39" i="85"/>
  <c r="L38" i="85"/>
  <c r="J38" i="85"/>
  <c r="AV38" i="85" s="1"/>
  <c r="L37" i="85"/>
  <c r="G37" i="85"/>
  <c r="L36" i="85"/>
  <c r="L35" i="85"/>
  <c r="G35" i="85"/>
  <c r="L34" i="85"/>
  <c r="J34" i="85"/>
  <c r="AR34" i="85" s="1"/>
  <c r="G34" i="85"/>
  <c r="L33" i="85"/>
  <c r="J33" i="85"/>
  <c r="AP33" i="85" s="1"/>
  <c r="G33" i="85"/>
  <c r="L32" i="85"/>
  <c r="G32" i="85"/>
  <c r="CF31" i="85"/>
  <c r="BD31" i="85"/>
  <c r="BD32" i="85" s="1"/>
  <c r="L31" i="85"/>
  <c r="J31" i="85"/>
  <c r="AR31" i="85" s="1"/>
  <c r="G31" i="85"/>
  <c r="BB28" i="85"/>
  <c r="BD30" i="85"/>
  <c r="L30" i="85"/>
  <c r="J30" i="85"/>
  <c r="AQ30" i="85" s="1"/>
  <c r="G30" i="85"/>
  <c r="BD29" i="85"/>
  <c r="BB29" i="85"/>
  <c r="L29" i="85"/>
  <c r="G29" i="85"/>
  <c r="BD28" i="85"/>
  <c r="L28" i="85"/>
  <c r="BB27" i="85"/>
  <c r="BD27" i="85"/>
  <c r="L27" i="85"/>
  <c r="G27" i="85"/>
  <c r="BD26" i="85"/>
  <c r="AY26" i="85"/>
  <c r="L26" i="85"/>
  <c r="BD25" i="85"/>
  <c r="L25" i="85"/>
  <c r="J29" i="85"/>
  <c r="AV29" i="85" s="1"/>
  <c r="BD24" i="85"/>
  <c r="AY24" i="85"/>
  <c r="L24" i="85"/>
  <c r="J27" i="85"/>
  <c r="AK27" i="85" s="1"/>
  <c r="BD23" i="85"/>
  <c r="J25" i="85"/>
  <c r="AH25" i="85" s="1"/>
  <c r="BD22" i="85"/>
  <c r="L22" i="85"/>
  <c r="L23" i="85" s="1"/>
  <c r="J22" i="85"/>
  <c r="AG22" i="85" s="1"/>
  <c r="J24" i="85"/>
  <c r="AG24" i="85" s="1"/>
  <c r="BD21" i="85"/>
  <c r="L21" i="85"/>
  <c r="G21" i="85"/>
  <c r="J23" i="85"/>
  <c r="AF23" i="85" s="1"/>
  <c r="L20" i="85"/>
  <c r="BD19" i="85"/>
  <c r="BD20" i="85" s="1"/>
  <c r="BB19" i="85"/>
  <c r="BV19" i="85" s="1"/>
  <c r="L19" i="85"/>
  <c r="J21" i="85"/>
  <c r="AH21" i="85" s="1"/>
  <c r="BD18" i="85"/>
  <c r="AY18" i="85"/>
  <c r="L18" i="85"/>
  <c r="G18" i="85"/>
  <c r="J19" i="85"/>
  <c r="BD17" i="85"/>
  <c r="L17" i="85"/>
  <c r="BD16" i="85"/>
  <c r="BB16" i="85"/>
  <c r="BR16" i="85" s="1"/>
  <c r="L16" i="85"/>
  <c r="BB10" i="85"/>
  <c r="BD15" i="85"/>
  <c r="L15" i="85"/>
  <c r="J18" i="85"/>
  <c r="BD14" i="85"/>
  <c r="BB14" i="85"/>
  <c r="BS14" i="85" s="1"/>
  <c r="L14" i="85"/>
  <c r="J14" i="85"/>
  <c r="AD14" i="85" s="1"/>
  <c r="BB15" i="85"/>
  <c r="BQ15" i="85" s="1"/>
  <c r="BD13" i="85"/>
  <c r="L13" i="85"/>
  <c r="J13" i="85"/>
  <c r="AC13" i="85" s="1"/>
  <c r="J15" i="85"/>
  <c r="BD12" i="85"/>
  <c r="AY12" i="85"/>
  <c r="L12" i="85"/>
  <c r="BD11" i="85"/>
  <c r="L11" i="85"/>
  <c r="J11" i="85"/>
  <c r="AA11" i="85" s="1"/>
  <c r="G11" i="85"/>
  <c r="BD10" i="85"/>
  <c r="L10" i="85"/>
  <c r="BB13" i="85"/>
  <c r="BD9" i="85"/>
  <c r="L9" i="85"/>
  <c r="J9" i="85"/>
  <c r="S9" i="85" s="1"/>
  <c r="BD8" i="85"/>
  <c r="BB8" i="85"/>
  <c r="BK8" i="85" s="1"/>
  <c r="L8" i="85"/>
  <c r="J8" i="85"/>
  <c r="S8" i="85" s="1"/>
  <c r="BD7" i="85"/>
  <c r="BB7" i="85"/>
  <c r="BK7" i="85" s="1"/>
  <c r="L7" i="85"/>
  <c r="G7" i="85"/>
  <c r="BD6" i="85"/>
  <c r="BB6" i="85"/>
  <c r="BK6" i="85" s="1"/>
  <c r="L6" i="85"/>
  <c r="J7" i="85"/>
  <c r="Y7" i="85" s="1"/>
  <c r="BD5" i="85"/>
  <c r="BB5" i="85"/>
  <c r="BJ5" i="85" s="1"/>
  <c r="L5" i="85"/>
  <c r="J5" i="85"/>
  <c r="BD4" i="85"/>
  <c r="L4" i="85"/>
  <c r="J4" i="85"/>
  <c r="O4" i="85" s="1"/>
  <c r="BD3" i="85"/>
  <c r="L3" i="85"/>
  <c r="BB3" i="85"/>
  <c r="BK3" i="85" s="1"/>
  <c r="CJ1000" i="71"/>
  <c r="CI1000" i="71"/>
  <c r="AK1000" i="71"/>
  <c r="AF1000" i="71"/>
  <c r="AA1000" i="71"/>
  <c r="U1000" i="71" a="1"/>
  <c r="U1000" i="71" s="1"/>
  <c r="V1000" i="71" s="1"/>
  <c r="Q1000" i="71" a="1"/>
  <c r="Q1000" i="71" s="1"/>
  <c r="P1000" i="71" a="1"/>
  <c r="P1000" i="71" s="1"/>
  <c r="R1000" i="71" s="1"/>
  <c r="J1000" i="71"/>
  <c r="CJ999" i="71"/>
  <c r="CI999" i="71"/>
  <c r="AK999" i="71"/>
  <c r="AF999" i="71"/>
  <c r="AA999" i="71"/>
  <c r="U999" i="71" a="1"/>
  <c r="U999" i="71" s="1"/>
  <c r="V999" i="71" s="1"/>
  <c r="Q999" i="71" a="1"/>
  <c r="Q999" i="71" s="1"/>
  <c r="P999" i="71" a="1"/>
  <c r="P999" i="71" s="1"/>
  <c r="R999" i="71" s="1"/>
  <c r="J999" i="71"/>
  <c r="CE998" i="71" a="1"/>
  <c r="CE998" i="71" s="1"/>
  <c r="P19" i="71" a="1"/>
  <c r="P19" i="71" s="1"/>
  <c r="A19" i="71"/>
  <c r="P18" i="71" a="1"/>
  <c r="P18" i="71" s="1"/>
  <c r="A18" i="71"/>
  <c r="P17" i="71" a="1"/>
  <c r="P17" i="71" s="1"/>
  <c r="A17" i="71"/>
  <c r="P16" i="71" a="1"/>
  <c r="P16" i="71" s="1"/>
  <c r="A16" i="71"/>
  <c r="P15" i="71" a="1"/>
  <c r="P15" i="71" s="1"/>
  <c r="A15" i="71"/>
  <c r="P14" i="71" a="1"/>
  <c r="P14" i="71" s="1"/>
  <c r="A14" i="71"/>
  <c r="P13" i="71" a="1"/>
  <c r="P13" i="71" s="1"/>
  <c r="A13" i="71"/>
  <c r="P12" i="71" a="1"/>
  <c r="P12" i="71" s="1"/>
  <c r="A12" i="71"/>
  <c r="P11" i="71"/>
  <c r="N11" i="71"/>
  <c r="N12" i="71" s="1" a="1"/>
  <c r="N12" i="71" s="1"/>
  <c r="N13" i="71" s="1" a="1"/>
  <c r="N13" i="71" s="1"/>
  <c r="N14" i="71" s="1" a="1"/>
  <c r="N14" i="71" s="1"/>
  <c r="N15" i="71" s="1" a="1"/>
  <c r="N15" i="71" s="1"/>
  <c r="N16" i="71" s="1" a="1"/>
  <c r="N16" i="71" s="1"/>
  <c r="N17" i="71" s="1" a="1"/>
  <c r="N17" i="71" s="1"/>
  <c r="N18" i="71" s="1" a="1"/>
  <c r="N18" i="71" s="1"/>
  <c r="N19" i="71" s="1" a="1"/>
  <c r="N19" i="71" s="1"/>
  <c r="O19" i="71" s="1" a="1"/>
  <c r="O19" i="71" s="1"/>
  <c r="O18" i="71" s="1" a="1"/>
  <c r="O18" i="71" s="1"/>
  <c r="O17" i="71" s="1" a="1"/>
  <c r="O17" i="71" s="1"/>
  <c r="O16" i="71" s="1" a="1"/>
  <c r="O16" i="71" s="1"/>
  <c r="O15" i="71" s="1" a="1"/>
  <c r="O15" i="71" s="1"/>
  <c r="O14" i="71" s="1" a="1"/>
  <c r="O14" i="71" s="1"/>
  <c r="O13" i="71" s="1" a="1"/>
  <c r="O13" i="71" s="1"/>
  <c r="O12" i="71" s="1" a="1"/>
  <c r="O12" i="71" s="1"/>
  <c r="O11" i="71" s="1"/>
  <c r="A11" i="71"/>
  <c r="D50" i="79"/>
  <c r="D47" i="79"/>
  <c r="D44" i="79"/>
  <c r="D42" i="79"/>
  <c r="D52" i="79" s="1"/>
  <c r="D41" i="79"/>
  <c r="E36" i="79"/>
  <c r="E35" i="79"/>
  <c r="E34" i="79"/>
  <c r="E33" i="79"/>
  <c r="E32" i="79"/>
  <c r="I30" i="79" a="1"/>
  <c r="I30" i="79" s="1"/>
  <c r="I29" i="79" a="1"/>
  <c r="I29" i="79" s="1"/>
  <c r="I28" i="79" a="1"/>
  <c r="I28" i="79" s="1"/>
  <c r="I27" i="79" a="1"/>
  <c r="I27" i="79" s="1"/>
  <c r="I26" i="79" a="1"/>
  <c r="I26" i="79" s="1"/>
  <c r="I25" i="79" a="1"/>
  <c r="I25" i="79" s="1"/>
  <c r="I24" i="79" a="1"/>
  <c r="I24" i="79" s="1"/>
  <c r="I23" i="79" a="1"/>
  <c r="I23" i="79" s="1"/>
  <c r="I22" i="79" a="1"/>
  <c r="I22" i="79" s="1"/>
  <c r="I21" i="79" a="1"/>
  <c r="I21" i="79" s="1"/>
  <c r="I20" i="79" a="1"/>
  <c r="I20" i="79" s="1"/>
  <c r="I19" i="79" a="1"/>
  <c r="I19" i="79" s="1"/>
  <c r="I18" i="79" a="1"/>
  <c r="I18" i="79" s="1"/>
  <c r="E18" i="79"/>
  <c r="I17" i="79" a="1"/>
  <c r="I17" i="79" s="1"/>
  <c r="I16" i="79" a="1"/>
  <c r="I16" i="79" s="1"/>
  <c r="I15" i="79" a="1"/>
  <c r="I15" i="79" s="1"/>
  <c r="I14" i="79" a="1"/>
  <c r="I14" i="79" s="1"/>
  <c r="I13" i="79" a="1"/>
  <c r="I13" i="79" s="1"/>
  <c r="I12" i="79" a="1"/>
  <c r="I12" i="79" s="1"/>
  <c r="I11" i="79" a="1"/>
  <c r="I11" i="79" s="1"/>
  <c r="D11" i="79"/>
  <c r="BK26" i="47"/>
  <c r="BE26" i="47"/>
  <c r="BK25" i="47"/>
  <c r="BK24" i="47"/>
  <c r="BE24" i="47"/>
  <c r="BK23" i="47"/>
  <c r="BK22" i="47"/>
  <c r="BK21" i="47"/>
  <c r="BE21" i="47"/>
  <c r="BK20" i="47"/>
  <c r="BE20" i="47"/>
  <c r="BK19" i="47"/>
  <c r="BE19" i="47"/>
  <c r="BE15" i="47"/>
  <c r="BE14" i="47"/>
  <c r="BE13" i="47"/>
  <c r="BE10" i="47"/>
  <c r="BI8" i="47"/>
  <c r="BI7" i="47"/>
  <c r="AT5" i="47"/>
  <c r="AO5" i="47"/>
  <c r="AK5" i="47"/>
  <c r="AG5" i="47"/>
  <c r="C4" i="90"/>
  <c r="I34" i="102"/>
  <c r="I33" i="102"/>
  <c r="F33" i="102"/>
  <c r="F34" i="102" s="1"/>
  <c r="F35" i="102" s="1"/>
  <c r="I32" i="102"/>
  <c r="L8" i="101"/>
  <c r="O8" i="101" s="1"/>
  <c r="K8" i="101"/>
  <c r="L7" i="101"/>
  <c r="O7" i="101" s="1"/>
  <c r="K7" i="101"/>
  <c r="L6" i="101"/>
  <c r="L5" i="101"/>
  <c r="K5" i="101"/>
  <c r="R1" i="101"/>
  <c r="Q1" i="101"/>
  <c r="P1" i="101"/>
  <c r="O1" i="101"/>
  <c r="N1" i="101"/>
  <c r="M1" i="101"/>
  <c r="L1" i="101"/>
  <c r="K1" i="101"/>
  <c r="J1" i="101"/>
  <c r="I1" i="101"/>
  <c r="H1" i="101"/>
  <c r="G1" i="101"/>
  <c r="F1" i="101"/>
  <c r="E1" i="101"/>
  <c r="D1" i="101"/>
  <c r="C1" i="101"/>
  <c r="B1" i="101"/>
  <c r="X5" i="48"/>
  <c r="R5" i="43"/>
  <c r="W3" i="43"/>
  <c r="U5" i="44"/>
  <c r="C5" i="44"/>
  <c r="AM3" i="44"/>
  <c r="AM4" i="44" s="1"/>
  <c r="C76" i="45"/>
  <c r="C75" i="45"/>
  <c r="C74" i="45"/>
  <c r="C73" i="45"/>
  <c r="C71" i="45"/>
  <c r="D70" i="45"/>
  <c r="D69" i="45"/>
  <c r="C64" i="45"/>
  <c r="C55" i="45"/>
  <c r="E36" i="45"/>
  <c r="D36" i="45" s="1"/>
  <c r="E35" i="45"/>
  <c r="D35" i="45" s="1"/>
  <c r="E34" i="45"/>
  <c r="E33" i="45"/>
  <c r="D33" i="45" s="1"/>
  <c r="E32" i="45"/>
  <c r="D32" i="45" s="1"/>
  <c r="C25" i="45"/>
  <c r="C24" i="45"/>
  <c r="C23" i="45"/>
  <c r="C22" i="45"/>
  <c r="C21" i="45"/>
  <c r="E18" i="45"/>
  <c r="D11" i="45"/>
  <c r="B8" i="38"/>
  <c r="BZ7" i="38"/>
  <c r="BX5" i="38"/>
  <c r="BW5" i="38"/>
  <c r="BV5" i="38"/>
  <c r="BT5" i="38"/>
  <c r="BS5" i="38"/>
  <c r="AU5" i="38"/>
  <c r="AT5" i="38"/>
  <c r="AM5" i="38"/>
  <c r="AE5" i="38"/>
  <c r="Z5" i="38"/>
  <c r="U5" i="38"/>
  <c r="Q5" i="38"/>
  <c r="I5" i="38"/>
  <c r="P3" i="50"/>
  <c r="N3" i="50"/>
  <c r="A3" i="50"/>
  <c r="CG61" i="38" l="1"/>
  <c r="BX61" i="38" s="1" a="1"/>
  <c r="BX61" i="38" s="1"/>
  <c r="B12" i="38"/>
  <c r="CG12" i="38" s="1"/>
  <c r="CG52" i="38"/>
  <c r="AR53" i="38"/>
  <c r="AU53" i="38" s="1"/>
  <c r="AR21" i="38"/>
  <c r="AU21" i="38" s="1"/>
  <c r="CG38" i="38"/>
  <c r="CG45" i="38" s="1" a="1"/>
  <c r="CG45" i="38" s="1"/>
  <c r="AR27" i="38"/>
  <c r="AU27" i="38" s="1"/>
  <c r="CG26" i="38"/>
  <c r="CG36" i="38" s="1" a="1"/>
  <c r="CG36" i="38" s="1"/>
  <c r="AR39" i="38"/>
  <c r="AU39" i="38" s="1"/>
  <c r="CG47" i="38"/>
  <c r="AR48" i="38"/>
  <c r="AU48" i="38" s="1"/>
  <c r="AR18" i="38"/>
  <c r="AU18" i="38" s="1"/>
  <c r="AR19" i="38"/>
  <c r="AU19" i="38" s="1"/>
  <c r="AR20" i="38"/>
  <c r="AU20" i="38" s="1"/>
  <c r="CG17" i="38"/>
  <c r="CG24" i="38" s="1" a="1"/>
  <c r="CG24" i="38" s="1"/>
  <c r="AR13" i="38"/>
  <c r="AU13" i="38" s="1"/>
  <c r="CL61" i="38" a="1"/>
  <c r="CL61" i="38" s="1"/>
  <c r="CO61" i="38" a="1"/>
  <c r="CO61" i="38" s="1"/>
  <c r="CG63" i="38" a="1"/>
  <c r="CG63" i="38" s="1"/>
  <c r="CG62" i="38" a="1"/>
  <c r="CG62" i="38" s="1"/>
  <c r="I7" i="101"/>
  <c r="F6" i="101"/>
  <c r="J6" i="101" s="1"/>
  <c r="I6" i="101"/>
  <c r="I5" i="101"/>
  <c r="G6" i="101"/>
  <c r="I8" i="101"/>
  <c r="I9" i="101"/>
  <c r="H6" i="101"/>
  <c r="N4" i="50" a="1"/>
  <c r="N4" i="50" s="1"/>
  <c r="DC998" i="71"/>
  <c r="DK998" i="71"/>
  <c r="DS998" i="71"/>
  <c r="EA998" i="71"/>
  <c r="CV998" i="71"/>
  <c r="DD998" i="71"/>
  <c r="DL998" i="71"/>
  <c r="DT998" i="71"/>
  <c r="EB998" i="71"/>
  <c r="CW998" i="71"/>
  <c r="DE998" i="71"/>
  <c r="DM998" i="71"/>
  <c r="DU998" i="71"/>
  <c r="CX998" i="71"/>
  <c r="DF998" i="71"/>
  <c r="DN998" i="71"/>
  <c r="DV998" i="71"/>
  <c r="CY998" i="71"/>
  <c r="DG998" i="71"/>
  <c r="DO998" i="71"/>
  <c r="DW998" i="71"/>
  <c r="CZ998" i="71"/>
  <c r="DH998" i="71"/>
  <c r="DP998" i="71"/>
  <c r="DX998" i="71"/>
  <c r="DA998" i="71"/>
  <c r="DI998" i="71"/>
  <c r="DQ998" i="71"/>
  <c r="DY998" i="71"/>
  <c r="DB998" i="71"/>
  <c r="DJ998" i="71"/>
  <c r="DR998" i="71"/>
  <c r="DZ998" i="71"/>
  <c r="BT998" i="71"/>
  <c r="CD1001" i="71"/>
  <c r="CD1002" i="71"/>
  <c r="BV998" i="71"/>
  <c r="BS998" i="71"/>
  <c r="D9" i="101"/>
  <c r="E9" i="101" s="1" a="1"/>
  <c r="E9" i="101" s="1"/>
  <c r="P9" i="101" s="1"/>
  <c r="Q9" i="101" s="1"/>
  <c r="F9" i="101"/>
  <c r="J9" i="101" s="1"/>
  <c r="G9" i="101"/>
  <c r="H9" i="101"/>
  <c r="E66" i="45" a="1"/>
  <c r="E66" i="45" s="1"/>
  <c r="D66" i="45" s="1"/>
  <c r="E26" i="45" a="1"/>
  <c r="E26" i="45" s="1"/>
  <c r="D26" i="45" s="1"/>
  <c r="AA9" i="43" s="1" a="1"/>
  <c r="AA9" i="43" s="1"/>
  <c r="E19" i="45" a="1"/>
  <c r="E19" i="45" s="1"/>
  <c r="E26" i="79" a="1"/>
  <c r="E26" i="79" s="1"/>
  <c r="E19" i="79" a="1"/>
  <c r="E19" i="79" s="1"/>
  <c r="D19" i="79" s="1"/>
  <c r="D79" i="79" s="1"/>
  <c r="AM999" i="71" a="1"/>
  <c r="AM999" i="71" s="1"/>
  <c r="AT999" i="71" a="1"/>
  <c r="AT999" i="71" s="1"/>
  <c r="AY999" i="71" s="1" a="1"/>
  <c r="AY999" i="71" s="1"/>
  <c r="AZ999" i="71" s="1"/>
  <c r="D17" i="193"/>
  <c r="D14" i="193"/>
  <c r="D16" i="193"/>
  <c r="D13" i="193"/>
  <c r="D15" i="193"/>
  <c r="E71" i="79" a="1"/>
  <c r="E71" i="79" s="1"/>
  <c r="D71" i="79" s="1"/>
  <c r="H181" i="100"/>
  <c r="F181" i="100"/>
  <c r="I1000" i="71" a="1"/>
  <c r="I1000" i="71" s="1"/>
  <c r="AM30" i="85"/>
  <c r="E31" i="45"/>
  <c r="BJ8" i="85"/>
  <c r="D45" i="79"/>
  <c r="AS33" i="85"/>
  <c r="X11" i="85"/>
  <c r="Y11" i="85"/>
  <c r="AR33" i="85"/>
  <c r="E21" i="79" a="1"/>
  <c r="E21" i="79" s="1"/>
  <c r="E23" i="79" a="1"/>
  <c r="E23" i="79" s="1"/>
  <c r="BI7" i="85"/>
  <c r="BM7" i="85"/>
  <c r="W11" i="85"/>
  <c r="E21" i="45" a="1"/>
  <c r="E21" i="45" s="1"/>
  <c r="D21" i="45" s="1"/>
  <c r="E67" i="79" a="1"/>
  <c r="E67" i="79" s="1"/>
  <c r="D67" i="79" s="1"/>
  <c r="BM8" i="85"/>
  <c r="E24" i="45" a="1"/>
  <c r="E24" i="45" s="1"/>
  <c r="D24" i="45" s="1"/>
  <c r="N7" i="101"/>
  <c r="J3" i="85"/>
  <c r="N3" i="85" s="1"/>
  <c r="T8" i="85"/>
  <c r="T9" i="85"/>
  <c r="V11" i="85"/>
  <c r="E31" i="79"/>
  <c r="BL7" i="85"/>
  <c r="BL8" i="85"/>
  <c r="AC11" i="85"/>
  <c r="AD13" i="85"/>
  <c r="AQ34" i="85"/>
  <c r="E23" i="45" a="1"/>
  <c r="E23" i="45" s="1"/>
  <c r="D23" i="45" s="1"/>
  <c r="M7" i="101"/>
  <c r="AQ33" i="85"/>
  <c r="BS13" i="85"/>
  <c r="BR13" i="85"/>
  <c r="BO13" i="85"/>
  <c r="CC28" i="85"/>
  <c r="CE28" i="85"/>
  <c r="CD28" i="85"/>
  <c r="AD19" i="85"/>
  <c r="AC19" i="85"/>
  <c r="BJ7" i="85"/>
  <c r="U11" i="85"/>
  <c r="AD11" i="85"/>
  <c r="AB13" i="85"/>
  <c r="AK21" i="85"/>
  <c r="BB22" i="85"/>
  <c r="BW22" i="85" s="1"/>
  <c r="AQ31" i="85"/>
  <c r="M8" i="101"/>
  <c r="N8" i="101"/>
  <c r="D48" i="79"/>
  <c r="E24" i="79" a="1"/>
  <c r="E24" i="79" s="1"/>
  <c r="P4" i="85"/>
  <c r="BG5" i="85"/>
  <c r="J10" i="85" a="1"/>
  <c r="J10" i="85" s="1"/>
  <c r="G10" i="85" s="1"/>
  <c r="H10" i="85" s="1"/>
  <c r="J12" i="85"/>
  <c r="J20" i="85" s="1"/>
  <c r="BB24" i="85"/>
  <c r="BZ24" i="85" s="1"/>
  <c r="AS34" i="85"/>
  <c r="BB4" i="85"/>
  <c r="BM4" i="85" s="1"/>
  <c r="BH5" i="85"/>
  <c r="BH6" i="85"/>
  <c r="X7" i="85"/>
  <c r="BP14" i="85"/>
  <c r="E25" i="79" a="1"/>
  <c r="E25" i="79" s="1"/>
  <c r="BI5" i="85"/>
  <c r="BI6" i="85"/>
  <c r="W13" i="85"/>
  <c r="BQ14" i="85"/>
  <c r="J35" i="85"/>
  <c r="AR35" i="85" s="1"/>
  <c r="E22" i="79" a="1"/>
  <c r="E22" i="79" s="1"/>
  <c r="BK5" i="85"/>
  <c r="BJ6" i="85"/>
  <c r="R8" i="85"/>
  <c r="Z11" i="85"/>
  <c r="Y13" i="85"/>
  <c r="BR14" i="85"/>
  <c r="AF22" i="85"/>
  <c r="AN30" i="85"/>
  <c r="AN31" i="85"/>
  <c r="E25" i="45" a="1"/>
  <c r="E25" i="45" s="1"/>
  <c r="D25" i="45" s="1"/>
  <c r="BL5" i="85"/>
  <c r="BL6" i="85"/>
  <c r="AB11" i="85"/>
  <c r="Z13" i="85"/>
  <c r="BB20" i="85"/>
  <c r="AG21" i="85"/>
  <c r="AH22" i="85"/>
  <c r="AO30" i="85"/>
  <c r="AO31" i="85"/>
  <c r="AU38" i="85"/>
  <c r="BM6" i="85"/>
  <c r="AA13" i="85"/>
  <c r="AI22" i="85"/>
  <c r="AP30" i="85"/>
  <c r="AP31" i="85"/>
  <c r="AX3" i="44"/>
  <c r="AM1000" i="71" a="1"/>
  <c r="AM1000" i="71" s="1"/>
  <c r="AS999" i="71" a="1"/>
  <c r="AS999" i="71" s="1"/>
  <c r="AD3" i="43"/>
  <c r="W4" i="43"/>
  <c r="B7" i="38"/>
  <c r="AN999" i="71" a="1"/>
  <c r="AN999" i="71" s="1"/>
  <c r="CD999" i="71"/>
  <c r="CK999" i="71" s="1" a="1"/>
  <c r="CK999" i="71" s="1"/>
  <c r="CV999" i="71" s="1"/>
  <c r="AN1000" i="71" a="1"/>
  <c r="AN1000" i="71" s="1"/>
  <c r="F17" i="193"/>
  <c r="C10" i="193"/>
  <c r="F15" i="193"/>
  <c r="C9" i="193"/>
  <c r="C6" i="193"/>
  <c r="F16" i="193"/>
  <c r="C5" i="193"/>
  <c r="F4" i="193"/>
  <c r="F14" i="193"/>
  <c r="C7" i="193"/>
  <c r="F13" i="193"/>
  <c r="CG998" i="71"/>
  <c r="C8" i="193"/>
  <c r="D7" i="101"/>
  <c r="E7" i="101" s="1" a="1"/>
  <c r="E7" i="101" s="1"/>
  <c r="P7" i="101" s="1"/>
  <c r="Q7" i="101" s="1"/>
  <c r="F8" i="101"/>
  <c r="J8" i="101" s="1"/>
  <c r="F5" i="101"/>
  <c r="D5" i="101"/>
  <c r="E5" i="101" s="1" a="1"/>
  <c r="E5" i="101" s="1"/>
  <c r="H7" i="101"/>
  <c r="G7" i="101"/>
  <c r="G8" i="101"/>
  <c r="G5" i="101"/>
  <c r="D8" i="101"/>
  <c r="E8" i="101" s="1" a="1"/>
  <c r="E8" i="101" s="1"/>
  <c r="P8" i="101" s="1"/>
  <c r="Q8" i="101" s="1"/>
  <c r="F7" i="101"/>
  <c r="J7" i="101" s="1"/>
  <c r="H8" i="101"/>
  <c r="H5" i="101"/>
  <c r="E67" i="45" a="1"/>
  <c r="E67" i="45" s="1"/>
  <c r="D67" i="45" s="1"/>
  <c r="E68" i="45" a="1"/>
  <c r="E68" i="45" s="1"/>
  <c r="D68" i="45" s="1"/>
  <c r="E71" i="45" a="1"/>
  <c r="E71" i="45" s="1"/>
  <c r="D71" i="45" s="1"/>
  <c r="E22" i="45" a="1"/>
  <c r="E22" i="45" s="1"/>
  <c r="D22" i="45" s="1"/>
  <c r="AA15" i="85"/>
  <c r="Z15" i="85"/>
  <c r="Y15" i="85"/>
  <c r="D51" i="79"/>
  <c r="CB27" i="85"/>
  <c r="CE27" i="85"/>
  <c r="CD27" i="85"/>
  <c r="CC27" i="85"/>
  <c r="AA7" i="85"/>
  <c r="S7" i="85"/>
  <c r="AD7" i="85"/>
  <c r="V7" i="85"/>
  <c r="U7" i="85"/>
  <c r="T7" i="85"/>
  <c r="AC7" i="85"/>
  <c r="R7" i="85"/>
  <c r="AB7" i="85"/>
  <c r="Q7" i="85"/>
  <c r="Z7" i="85"/>
  <c r="BB9" i="85"/>
  <c r="AO999" i="71"/>
  <c r="AG999" i="71" a="1"/>
  <c r="AG999" i="71" s="1"/>
  <c r="AL999" i="71" s="1"/>
  <c r="AS1000" i="71" a="1"/>
  <c r="AS1000" i="71" s="1"/>
  <c r="AT1000" i="71" a="1"/>
  <c r="AT1000" i="71" s="1"/>
  <c r="AC14" i="85"/>
  <c r="AD18" i="85"/>
  <c r="AC18" i="85"/>
  <c r="AB18" i="85"/>
  <c r="AI25" i="85"/>
  <c r="W7" i="85"/>
  <c r="CD1000" i="71"/>
  <c r="BH3" i="85"/>
  <c r="BI3" i="85"/>
  <c r="P5" i="85"/>
  <c r="O5" i="85"/>
  <c r="BU19" i="85"/>
  <c r="BX19" i="85"/>
  <c r="BW19" i="85"/>
  <c r="J37" i="85"/>
  <c r="J39" i="85" s="1"/>
  <c r="J32" i="85"/>
  <c r="AG1000" i="71" a="1"/>
  <c r="AG1000" i="71" s="1"/>
  <c r="AL1000" i="71" s="1"/>
  <c r="AO1000" i="71"/>
  <c r="BG3" i="85"/>
  <c r="BJ3" i="85"/>
  <c r="BF3" i="85"/>
  <c r="BE3" i="85"/>
  <c r="BM3" i="85"/>
  <c r="BL3" i="85"/>
  <c r="BS15" i="85"/>
  <c r="BR15" i="85"/>
  <c r="BL10" i="85"/>
  <c r="BM10" i="85"/>
  <c r="AB14" i="85"/>
  <c r="AA14" i="85"/>
  <c r="Z14" i="85"/>
  <c r="Y14" i="85"/>
  <c r="X14" i="85"/>
  <c r="J16" i="85"/>
  <c r="CE29" i="85"/>
  <c r="CD29" i="85"/>
  <c r="AI23" i="85"/>
  <c r="AH23" i="85"/>
  <c r="AG23" i="85"/>
  <c r="E68" i="79" a="1"/>
  <c r="E68" i="79" s="1"/>
  <c r="D68" i="79" s="1"/>
  <c r="BB12" i="85"/>
  <c r="J26" i="85" a="1"/>
  <c r="J26" i="85" s="1"/>
  <c r="AJ21" i="85"/>
  <c r="AI21" i="85"/>
  <c r="AE21" i="85"/>
  <c r="AR29" i="85"/>
  <c r="AQ29" i="85"/>
  <c r="J28" i="85"/>
  <c r="AU29" i="85"/>
  <c r="AM29" i="85"/>
  <c r="AT29" i="85"/>
  <c r="AL29" i="85"/>
  <c r="AS29" i="85"/>
  <c r="AN29" i="85"/>
  <c r="AW41" i="85"/>
  <c r="E66" i="79" a="1"/>
  <c r="E66" i="79" s="1"/>
  <c r="D66" i="79" s="1"/>
  <c r="I999" i="71" a="1"/>
  <c r="I999" i="71" s="1"/>
  <c r="BB18" i="85"/>
  <c r="BP13" i="85"/>
  <c r="AJ27" i="85"/>
  <c r="AO29" i="85"/>
  <c r="N4" i="85"/>
  <c r="BQ13" i="85"/>
  <c r="BS16" i="85"/>
  <c r="AF21" i="85"/>
  <c r="AI24" i="85"/>
  <c r="AH24" i="85"/>
  <c r="AP29" i="85"/>
  <c r="F182" i="100"/>
  <c r="H182" i="100"/>
  <c r="B1" i="104" a="1"/>
  <c r="B1" i="104" s="1"/>
  <c r="C1" i="104" s="1"/>
  <c r="B1" i="89" a="1"/>
  <c r="B1" i="89" s="1"/>
  <c r="C1" i="89" s="1"/>
  <c r="AR30" i="85"/>
  <c r="AS31" i="85"/>
  <c r="BB21" i="85"/>
  <c r="AS30" i="85"/>
  <c r="BM5" i="85"/>
  <c r="X13" i="85"/>
  <c r="D61" i="38" l="1" a="1"/>
  <c r="D61" i="38" s="1"/>
  <c r="AO12" i="44" a="1"/>
  <c r="AO12" i="44" s="1"/>
  <c r="AS12" i="44" a="1"/>
  <c r="AS12" i="44" s="1"/>
  <c r="AP12" i="44" a="1"/>
  <c r="AP12" i="44" s="1"/>
  <c r="AT12" i="44" a="1"/>
  <c r="AT12" i="44" s="1"/>
  <c r="AQ12" i="44" a="1"/>
  <c r="AQ12" i="44" s="1"/>
  <c r="AU12" i="44" a="1"/>
  <c r="AU12" i="44" s="1"/>
  <c r="AN12" i="44" a="1"/>
  <c r="AN12" i="44" s="1"/>
  <c r="CG56" i="38" a="1"/>
  <c r="CG56" i="38" s="1"/>
  <c r="CG55" i="38" a="1"/>
  <c r="CG55" i="38" s="1"/>
  <c r="CG58" i="38" a="1"/>
  <c r="CG58" i="38" s="1"/>
  <c r="CG57" i="38" a="1"/>
  <c r="CG57" i="38" s="1"/>
  <c r="CG64" i="38" a="1"/>
  <c r="CG64" i="38" s="1"/>
  <c r="CM61" i="38" a="1"/>
  <c r="CM61" i="38" s="1"/>
  <c r="CQ61" i="38" s="1" a="1"/>
  <c r="CQ61" i="38" s="1"/>
  <c r="BZ61" i="38" a="1"/>
  <c r="BZ61" i="38" s="1"/>
  <c r="CB61" i="38" s="1"/>
  <c r="CN61" i="38" s="1" a="1"/>
  <c r="CN61" i="38" s="1"/>
  <c r="CG42" i="38" a="1"/>
  <c r="CG42" i="38" s="1"/>
  <c r="CG41" i="38" a="1"/>
  <c r="CG41" i="38" s="1"/>
  <c r="CG43" i="38" a="1"/>
  <c r="CG43" i="38" s="1"/>
  <c r="AO11" i="44" a="1"/>
  <c r="AO11" i="44" s="1"/>
  <c r="AU11" i="44" a="1"/>
  <c r="AU11" i="44" s="1"/>
  <c r="AS11" i="44" a="1"/>
  <c r="AS11" i="44" s="1"/>
  <c r="AP11" i="44" a="1"/>
  <c r="AP11" i="44" s="1"/>
  <c r="AT11" i="44" a="1"/>
  <c r="AT11" i="44" s="1"/>
  <c r="AQ11" i="44" a="1"/>
  <c r="AQ11" i="44" s="1"/>
  <c r="AN11" i="44" a="1"/>
  <c r="AN11" i="44" s="1"/>
  <c r="AO10" i="44" a="1"/>
  <c r="AO10" i="44" s="1"/>
  <c r="AS10" i="44" a="1"/>
  <c r="AS10" i="44" s="1"/>
  <c r="AT10" i="44" a="1"/>
  <c r="AT10" i="44" s="1"/>
  <c r="AU10" i="44" a="1"/>
  <c r="AU10" i="44" s="1"/>
  <c r="AP10" i="44" a="1"/>
  <c r="AP10" i="44" s="1"/>
  <c r="AQ10" i="44" a="1"/>
  <c r="AQ10" i="44" s="1"/>
  <c r="AN10" i="44" a="1"/>
  <c r="AN10" i="44" s="1"/>
  <c r="AO9" i="44" a="1"/>
  <c r="AO9" i="44" s="1"/>
  <c r="AS9" i="44" a="1"/>
  <c r="AS9" i="44" s="1"/>
  <c r="AU9" i="44" a="1"/>
  <c r="AU9" i="44" s="1"/>
  <c r="AP9" i="44" a="1"/>
  <c r="AP9" i="44" s="1"/>
  <c r="AT9" i="44" a="1"/>
  <c r="AT9" i="44" s="1"/>
  <c r="AQ9" i="44" a="1"/>
  <c r="AQ9" i="44" s="1"/>
  <c r="AN9" i="44" a="1"/>
  <c r="AN9" i="44" s="1"/>
  <c r="AO8" i="44" a="1"/>
  <c r="AO8" i="44" s="1"/>
  <c r="AS8" i="44" a="1"/>
  <c r="AS8" i="44" s="1"/>
  <c r="AT8" i="44" a="1"/>
  <c r="AT8" i="44" s="1"/>
  <c r="AQ8" i="44" a="1"/>
  <c r="AQ8" i="44" s="1"/>
  <c r="AU8" i="44" a="1"/>
  <c r="AU8" i="44" s="1"/>
  <c r="AP8" i="44" a="1"/>
  <c r="AP8" i="44" s="1"/>
  <c r="AN8" i="44" a="1"/>
  <c r="AN8" i="44" s="1"/>
  <c r="AP7" i="44" a="1"/>
  <c r="AP7" i="44" s="1"/>
  <c r="AT7" i="44" a="1"/>
  <c r="AT7" i="44" s="1"/>
  <c r="AQ7" i="44" a="1"/>
  <c r="AQ7" i="44" s="1"/>
  <c r="AU7" i="44" a="1"/>
  <c r="AU7" i="44" s="1"/>
  <c r="AO7" i="44" a="1"/>
  <c r="AO7" i="44" s="1"/>
  <c r="AS7" i="44" a="1"/>
  <c r="AS7" i="44" s="1"/>
  <c r="AN7" i="44" a="1"/>
  <c r="AN7" i="44" s="1"/>
  <c r="CG30" i="38" a="1"/>
  <c r="CG30" i="38" s="1"/>
  <c r="CG29" i="38" a="1"/>
  <c r="CG29" i="38" s="1"/>
  <c r="CG32" i="38" a="1"/>
  <c r="CG32" i="38" s="1"/>
  <c r="CG31" i="38" a="1"/>
  <c r="CG31" i="38" s="1"/>
  <c r="CG34" i="38" a="1"/>
  <c r="CG34" i="38" s="1"/>
  <c r="CG33" i="38" a="1"/>
  <c r="CG33" i="38" s="1"/>
  <c r="AC9" i="43" a="1"/>
  <c r="AC9" i="43" s="1"/>
  <c r="AD9" i="43" s="1"/>
  <c r="AV13" i="38" a="1"/>
  <c r="AV13" i="38" s="1"/>
  <c r="AX13" i="38" s="1"/>
  <c r="BA13" i="38" s="1"/>
  <c r="BM13" i="38"/>
  <c r="CL26" i="38" a="1"/>
  <c r="CL26" i="38" s="1"/>
  <c r="BX26" i="38" a="1"/>
  <c r="BX26" i="38" s="1"/>
  <c r="BZ26" i="38" a="1"/>
  <c r="BZ26" i="38" s="1"/>
  <c r="CG35" i="38" a="1"/>
  <c r="CG35" i="38" s="1"/>
  <c r="CG27" i="38" a="1"/>
  <c r="CG27" i="38" s="1"/>
  <c r="CG28" i="38" a="1"/>
  <c r="CG28" i="38" s="1"/>
  <c r="CG37" i="38" a="1"/>
  <c r="CG37" i="38" s="1"/>
  <c r="AC7" i="43" a="1"/>
  <c r="AC7" i="43" s="1"/>
  <c r="BZ17" i="38" a="1"/>
  <c r="BZ17" i="38" s="1"/>
  <c r="CL17" i="38" a="1"/>
  <c r="CL17" i="38" s="1"/>
  <c r="D17" i="38" a="1"/>
  <c r="D17" i="38" s="1"/>
  <c r="CK24" i="38" s="1" a="1"/>
  <c r="CK24" i="38" s="1"/>
  <c r="CG22" i="38" a="1"/>
  <c r="CG22" i="38" s="1"/>
  <c r="CG18" i="38" a="1"/>
  <c r="CG18" i="38" s="1"/>
  <c r="CG19" i="38" a="1"/>
  <c r="CG19" i="38" s="1"/>
  <c r="CG25" i="38" a="1"/>
  <c r="CG25" i="38" s="1"/>
  <c r="CG23" i="38" a="1"/>
  <c r="CG23" i="38" s="1"/>
  <c r="CG20" i="38" a="1"/>
  <c r="CG20" i="38" s="1"/>
  <c r="CG21" i="38" a="1"/>
  <c r="CG21" i="38" s="1"/>
  <c r="AA10" i="43" a="1"/>
  <c r="AA10" i="43" s="1"/>
  <c r="BM20" i="38"/>
  <c r="AV20" i="38" a="1"/>
  <c r="AV20" i="38" s="1"/>
  <c r="AX20" i="38" s="1"/>
  <c r="BA20" i="38" s="1"/>
  <c r="CL38" i="38" a="1"/>
  <c r="CL38" i="38" s="1"/>
  <c r="BX38" i="38" a="1"/>
  <c r="BX38" i="38" s="1"/>
  <c r="BZ38" i="38" a="1"/>
  <c r="BZ38" i="38" s="1"/>
  <c r="CG40" i="38" a="1"/>
  <c r="CG40" i="38" s="1"/>
  <c r="CG44" i="38" a="1"/>
  <c r="CG44" i="38" s="1"/>
  <c r="CG39" i="38" a="1"/>
  <c r="CG39" i="38" s="1"/>
  <c r="CG46" i="38" a="1"/>
  <c r="CG46" i="38" s="1"/>
  <c r="AC8" i="43" a="1"/>
  <c r="AC8" i="43" s="1"/>
  <c r="BM19" i="38"/>
  <c r="AV19" i="38" a="1"/>
  <c r="AV19" i="38" s="1"/>
  <c r="AX19" i="38" s="1"/>
  <c r="AV21" i="38" a="1"/>
  <c r="AV21" i="38" s="1"/>
  <c r="AX21" i="38" s="1"/>
  <c r="BA21" i="38" s="1"/>
  <c r="BM21" i="38"/>
  <c r="AA8" i="43" a="1"/>
  <c r="AA8" i="43" s="1"/>
  <c r="BM18" i="38"/>
  <c r="AV18" i="38" a="1"/>
  <c r="AV18" i="38" s="1"/>
  <c r="AX18" i="38" s="1"/>
  <c r="BA18" i="38" s="1"/>
  <c r="AC10" i="43" a="1"/>
  <c r="AC10" i="43" s="1"/>
  <c r="BZ52" i="38" a="1"/>
  <c r="BZ52" i="38" s="1"/>
  <c r="BX52" i="38" a="1"/>
  <c r="BX52" i="38" s="1"/>
  <c r="CL52" i="38" a="1"/>
  <c r="CL52" i="38" s="1"/>
  <c r="CG54" i="38" a="1"/>
  <c r="CG54" i="38" s="1"/>
  <c r="CG53" i="38" a="1"/>
  <c r="CG53" i="38" s="1"/>
  <c r="CG60" i="38" a="1"/>
  <c r="CG60" i="38" s="1"/>
  <c r="CG59" i="38" a="1"/>
  <c r="CG59" i="38" s="1"/>
  <c r="AA7" i="43" a="1"/>
  <c r="AA7" i="43" s="1"/>
  <c r="BZ47" i="38" a="1"/>
  <c r="BZ47" i="38" s="1"/>
  <c r="BX47" i="38" a="1"/>
  <c r="BX47" i="38" s="1"/>
  <c r="CL47" i="38" a="1"/>
  <c r="CL47" i="38" s="1"/>
  <c r="CG49" i="38" a="1"/>
  <c r="CG49" i="38" s="1"/>
  <c r="CG51" i="38" a="1"/>
  <c r="CG51" i="38" s="1"/>
  <c r="CG50" i="38" a="1"/>
  <c r="CG50" i="38" s="1"/>
  <c r="CG48" i="38" a="1"/>
  <c r="CG48" i="38" s="1"/>
  <c r="BZ12" i="38" a="1"/>
  <c r="BZ12" i="38" s="1"/>
  <c r="CG14" i="38" a="1"/>
  <c r="CG14" i="38" s="1"/>
  <c r="CL12" i="38" a="1"/>
  <c r="CL12" i="38" s="1"/>
  <c r="CF12" i="38" s="1" a="1"/>
  <c r="CF12" i="38" s="1"/>
  <c r="D12" i="38" a="1"/>
  <c r="D12" i="38" s="1"/>
  <c r="CG13" i="38" a="1"/>
  <c r="CG13" i="38" s="1"/>
  <c r="CG16" i="38" a="1"/>
  <c r="CG16" i="38" s="1"/>
  <c r="CG15" i="38" a="1"/>
  <c r="CG15" i="38" s="1"/>
  <c r="CF61" i="38" a="1"/>
  <c r="CF61" i="38" s="1"/>
  <c r="N6" i="50" a="1"/>
  <c r="N6" i="50" s="1"/>
  <c r="O6" i="50" s="1" a="1"/>
  <c r="O6" i="50" s="1"/>
  <c r="N8" i="50" a="1"/>
  <c r="N8" i="50" s="1"/>
  <c r="O8" i="50" s="1" a="1"/>
  <c r="O8" i="50" s="1"/>
  <c r="Z10" i="43" a="1"/>
  <c r="Z10" i="43" s="1"/>
  <c r="X9" i="43" a="1"/>
  <c r="X9" i="43" s="1"/>
  <c r="Z9" i="43" a="1"/>
  <c r="Z9" i="43" s="1"/>
  <c r="Z8" i="43" a="1"/>
  <c r="Z8" i="43" s="1"/>
  <c r="X8" i="43" a="1"/>
  <c r="X8" i="43" s="1"/>
  <c r="Z7" i="43" a="1"/>
  <c r="Z7" i="43" s="1"/>
  <c r="X7" i="43" a="1"/>
  <c r="X7" i="43" s="1"/>
  <c r="X10" i="43" a="1"/>
  <c r="X10" i="43" s="1"/>
  <c r="Y10" i="43" a="1"/>
  <c r="Y10" i="43" s="1"/>
  <c r="Y8" i="43" a="1"/>
  <c r="Y8" i="43" s="1"/>
  <c r="Y9" i="43" a="1"/>
  <c r="Y9" i="43" s="1"/>
  <c r="Y7" i="43" a="1"/>
  <c r="Y7" i="43" s="1"/>
  <c r="N7" i="50" a="1"/>
  <c r="N7" i="50" s="1"/>
  <c r="O7" i="50" s="1" a="1"/>
  <c r="O7" i="50" s="1"/>
  <c r="N5" i="50" a="1"/>
  <c r="N5" i="50" s="1"/>
  <c r="O5" i="50" s="1" a="1"/>
  <c r="O5" i="50" s="1"/>
  <c r="CK63" i="38" a="1"/>
  <c r="CK63" i="38" s="1"/>
  <c r="CK64" i="38" a="1"/>
  <c r="CK64" i="38" s="1"/>
  <c r="CK62" i="38" a="1"/>
  <c r="CK62" i="38" s="1"/>
  <c r="BW61" i="38"/>
  <c r="D47" i="45"/>
  <c r="CA1002" i="71" a="1"/>
  <c r="CA1002" i="71" s="1"/>
  <c r="CH1002" i="71" s="1"/>
  <c r="CG1002" i="71" a="1"/>
  <c r="CG1002" i="71" s="1"/>
  <c r="CK1002" i="71" a="1"/>
  <c r="CK1002" i="71" s="1"/>
  <c r="CG1001" i="71" a="1"/>
  <c r="CG1001" i="71" s="1"/>
  <c r="CK1001" i="71" a="1"/>
  <c r="CK1001" i="71" s="1"/>
  <c r="CA1001" i="71" a="1"/>
  <c r="CA1001" i="71" s="1"/>
  <c r="CH1001" i="71" s="1"/>
  <c r="M6" i="101"/>
  <c r="N6" i="101"/>
  <c r="O6" i="101"/>
  <c r="P6" i="101" s="1"/>
  <c r="Q6" i="101" s="1"/>
  <c r="CZ999" i="71"/>
  <c r="D52" i="45"/>
  <c r="E16" i="193"/>
  <c r="M16" i="193" s="1"/>
  <c r="AU999" i="71"/>
  <c r="BM999" i="71" s="1"/>
  <c r="DM999" i="71" s="1"/>
  <c r="J6" i="85" a="1"/>
  <c r="J6" i="85" s="1"/>
  <c r="G6" i="85" s="1"/>
  <c r="H6" i="85" s="1"/>
  <c r="E17" i="193"/>
  <c r="M17" i="193" s="1"/>
  <c r="E15" i="193"/>
  <c r="M15" i="193" s="1"/>
  <c r="E14" i="193"/>
  <c r="M14" i="193" s="1"/>
  <c r="E13" i="193"/>
  <c r="M13" i="193" s="1"/>
  <c r="D79" i="45"/>
  <c r="C8" i="38" s="1"/>
  <c r="AA12" i="85"/>
  <c r="O3" i="85"/>
  <c r="BX22" i="85"/>
  <c r="AD12" i="85"/>
  <c r="P3" i="85"/>
  <c r="M3" i="85"/>
  <c r="X12" i="85"/>
  <c r="AB12" i="85"/>
  <c r="BJ4" i="85"/>
  <c r="V12" i="85"/>
  <c r="D50" i="45"/>
  <c r="BY24" i="85"/>
  <c r="D44" i="45"/>
  <c r="BG4" i="85"/>
  <c r="BF4" i="85"/>
  <c r="BH4" i="85"/>
  <c r="BI4" i="85"/>
  <c r="BK4" i="85"/>
  <c r="T10" i="85"/>
  <c r="BL4" i="85"/>
  <c r="D48" i="45"/>
  <c r="D45" i="45"/>
  <c r="D51" i="45"/>
  <c r="AS35" i="85"/>
  <c r="AC12" i="85"/>
  <c r="Z12" i="85"/>
  <c r="Y12" i="85"/>
  <c r="W12" i="85"/>
  <c r="BU20" i="85"/>
  <c r="BV20" i="85"/>
  <c r="BX20" i="85"/>
  <c r="BW20" i="85"/>
  <c r="D49" i="79"/>
  <c r="D46" i="45"/>
  <c r="D43" i="79"/>
  <c r="D43" i="45"/>
  <c r="CG999" i="71" a="1"/>
  <c r="CG999" i="71" s="1"/>
  <c r="CA999" i="71" a="1"/>
  <c r="CA999" i="71" s="1"/>
  <c r="CH999" i="71" s="1"/>
  <c r="DA999" i="71"/>
  <c r="AP1000" i="71"/>
  <c r="BD1000" i="71" s="1"/>
  <c r="DB999" i="71"/>
  <c r="DF999" i="71"/>
  <c r="G39" i="85"/>
  <c r="H39" i="85" s="1"/>
  <c r="AV39" i="85"/>
  <c r="AA16" i="85"/>
  <c r="Z16" i="85"/>
  <c r="D46" i="79"/>
  <c r="AK28" i="85"/>
  <c r="G28" i="85"/>
  <c r="H28" i="85" s="1"/>
  <c r="CW999" i="71"/>
  <c r="AY1000" i="71" a="1"/>
  <c r="AY1000" i="71" s="1"/>
  <c r="AZ1000" i="71" s="1"/>
  <c r="AU1000" i="71"/>
  <c r="F6" i="193" a="1"/>
  <c r="F6" i="193" s="1"/>
  <c r="F7" i="193" a="1"/>
  <c r="F7" i="193" s="1"/>
  <c r="F5" i="193" a="1"/>
  <c r="F5" i="193" s="1"/>
  <c r="BZ18" i="85"/>
  <c r="BY18" i="85"/>
  <c r="BU18" i="85"/>
  <c r="BT18" i="85"/>
  <c r="BB17" i="85"/>
  <c r="BX18" i="85"/>
  <c r="BW18" i="85"/>
  <c r="BV18" i="85"/>
  <c r="AI26" i="85"/>
  <c r="G26" i="85"/>
  <c r="H26" i="85" s="1"/>
  <c r="J17" i="85" a="1"/>
  <c r="J17" i="85" s="1"/>
  <c r="AD20" i="85"/>
  <c r="G20" i="85"/>
  <c r="H20" i="85" s="1"/>
  <c r="BT12" i="85"/>
  <c r="BW12" i="85"/>
  <c r="BO12" i="85"/>
  <c r="BB26" i="85"/>
  <c r="BX12" i="85"/>
  <c r="BV12" i="85"/>
  <c r="BU12" i="85"/>
  <c r="BS12" i="85"/>
  <c r="BR12" i="85"/>
  <c r="BB11" i="85"/>
  <c r="BY12" i="85"/>
  <c r="BQ12" i="85"/>
  <c r="BP12" i="85"/>
  <c r="BN12" i="85"/>
  <c r="BZ12" i="85"/>
  <c r="AP999" i="71"/>
  <c r="D49" i="45"/>
  <c r="B1" i="100" a="1"/>
  <c r="B1" i="100" s="1"/>
  <c r="C1" i="100" s="1"/>
  <c r="CX999" i="71"/>
  <c r="BM9" i="85"/>
  <c r="BL9" i="85"/>
  <c r="BK9" i="85"/>
  <c r="CY999" i="71"/>
  <c r="CO998" i="71" a="1"/>
  <c r="CO998" i="71" s="1"/>
  <c r="BZ998" i="71" a="1"/>
  <c r="BZ998" i="71" s="1"/>
  <c r="D998" i="71" a="1"/>
  <c r="D998" i="71" s="1"/>
  <c r="BW998" i="71" s="1"/>
  <c r="BX998" i="71" a="1"/>
  <c r="BX998" i="71" s="1"/>
  <c r="CM998" i="71" a="1"/>
  <c r="CM998" i="71" s="1"/>
  <c r="CL998" i="71" a="1"/>
  <c r="CL998" i="71" s="1"/>
  <c r="CF998" i="71" s="1" a="1"/>
  <c r="CF998" i="71" s="1"/>
  <c r="BX21" i="85"/>
  <c r="BW21" i="85"/>
  <c r="BV21" i="85"/>
  <c r="CG1000" i="71" a="1"/>
  <c r="CG1000" i="71" s="1"/>
  <c r="CK1000" i="71" a="1"/>
  <c r="CK1000" i="71" s="1"/>
  <c r="CA1000" i="71" a="1"/>
  <c r="CA1000" i="71" s="1"/>
  <c r="CH1000" i="71" s="1"/>
  <c r="O5" i="101"/>
  <c r="P5" i="101" s="1"/>
  <c r="Q5" i="101" s="1"/>
  <c r="N5" i="101"/>
  <c r="J5" i="101"/>
  <c r="M5" i="101"/>
  <c r="AP32" i="85"/>
  <c r="AO32" i="85"/>
  <c r="AS32" i="85"/>
  <c r="AR32" i="85"/>
  <c r="AQ32" i="85"/>
  <c r="BB23" i="85"/>
  <c r="AV37" i="85"/>
  <c r="J36" i="85" a="1"/>
  <c r="J36" i="85" s="1"/>
  <c r="AU37" i="85"/>
  <c r="AT37" i="85"/>
  <c r="AR12" i="44" l="1" a="1"/>
  <c r="AR12" i="44" s="1"/>
  <c r="AX12" i="44" s="1" a="1"/>
  <c r="AX12" i="44" s="1"/>
  <c r="CY24" i="38"/>
  <c r="DP24" i="38"/>
  <c r="CZ24" i="38"/>
  <c r="CX24" i="38"/>
  <c r="CV24" i="38"/>
  <c r="DB24" i="38"/>
  <c r="CW24" i="38"/>
  <c r="DF24" i="38"/>
  <c r="DD24" i="38"/>
  <c r="DA24" i="38"/>
  <c r="DE24" i="38"/>
  <c r="DM24" i="38"/>
  <c r="DC24" i="38"/>
  <c r="DI24" i="38"/>
  <c r="DL24" i="38"/>
  <c r="DH24" i="38"/>
  <c r="DG24" i="38"/>
  <c r="DK24" i="38"/>
  <c r="DJ24" i="38"/>
  <c r="DN24" i="38"/>
  <c r="DO24" i="38"/>
  <c r="CC61" i="38"/>
  <c r="CP61" i="38" s="1" a="1"/>
  <c r="CP61" i="38" s="1"/>
  <c r="CS61" i="38" s="1" a="1"/>
  <c r="CS61" i="38" s="1"/>
  <c r="CA61" i="38"/>
  <c r="CH61" i="38" s="1"/>
  <c r="CR61" i="38" a="1"/>
  <c r="CR61" i="38" s="1"/>
  <c r="AR11" i="44" a="1"/>
  <c r="AR11" i="44" s="1"/>
  <c r="AX11" i="44" s="1" a="1"/>
  <c r="AX11" i="44" s="1"/>
  <c r="AR10" i="44" a="1"/>
  <c r="AR10" i="44" s="1"/>
  <c r="AX10" i="44" s="1" a="1"/>
  <c r="AX10" i="44" s="1"/>
  <c r="AR9" i="44" a="1"/>
  <c r="AR9" i="44" s="1"/>
  <c r="AX9" i="44" s="1" a="1"/>
  <c r="AX9" i="44" s="1"/>
  <c r="AR8" i="44" a="1"/>
  <c r="AR8" i="44" s="1"/>
  <c r="AX8" i="44" s="1" a="1"/>
  <c r="AX8" i="44" s="1"/>
  <c r="AR7" i="44" a="1"/>
  <c r="AR7" i="44" s="1"/>
  <c r="AX7" i="44" s="1" a="1"/>
  <c r="AX7" i="44" s="1"/>
  <c r="AD7" i="43"/>
  <c r="AD10" i="43"/>
  <c r="BF21" i="38"/>
  <c r="BB21" i="38"/>
  <c r="BB20" i="38"/>
  <c r="BF20" i="38"/>
  <c r="BF13" i="38"/>
  <c r="BB13" i="38"/>
  <c r="CB52" i="38"/>
  <c r="CN52" i="38" s="1" a="1"/>
  <c r="CN52" i="38" s="1"/>
  <c r="CC52" i="38"/>
  <c r="CP52" i="38" s="1" a="1"/>
  <c r="CP52" i="38" s="1"/>
  <c r="CA52" i="38"/>
  <c r="BA19" i="38"/>
  <c r="D26" i="38" a="1"/>
  <c r="D26" i="38" s="1"/>
  <c r="CK36" i="38" s="1" a="1"/>
  <c r="CK36" i="38" s="1"/>
  <c r="CK14" i="38" a="1"/>
  <c r="CK14" i="38" s="1"/>
  <c r="CK16" i="38" a="1"/>
  <c r="CK16" i="38" s="1"/>
  <c r="CK13" i="38" a="1"/>
  <c r="CK13" i="38" s="1"/>
  <c r="DG13" i="38" s="1"/>
  <c r="CK15" i="38" a="1"/>
  <c r="CK15" i="38" s="1"/>
  <c r="D52" i="38" a="1"/>
  <c r="D52" i="38" s="1"/>
  <c r="CB38" i="38"/>
  <c r="CN38" i="38" s="1" a="1"/>
  <c r="CN38" i="38" s="1"/>
  <c r="CA38" i="38"/>
  <c r="CA45" i="38" s="1" a="1"/>
  <c r="CA45" i="38" s="1"/>
  <c r="CH45" i="38" s="1"/>
  <c r="CC38" i="38"/>
  <c r="CP38" i="38" s="1" a="1"/>
  <c r="CP38" i="38" s="1"/>
  <c r="AD8" i="43"/>
  <c r="D38" i="38" a="1"/>
  <c r="D38" i="38" s="1"/>
  <c r="CK45" i="38" s="1" a="1"/>
  <c r="CK45" i="38" s="1"/>
  <c r="CF26" i="38" a="1"/>
  <c r="CF26" i="38" s="1"/>
  <c r="D47" i="38" a="1"/>
  <c r="D47" i="38" s="1"/>
  <c r="CB12" i="38"/>
  <c r="CN12" i="38" s="1" a="1"/>
  <c r="CN12" i="38" s="1"/>
  <c r="CA12" i="38"/>
  <c r="CC12" i="38"/>
  <c r="CP12" i="38" s="1" a="1"/>
  <c r="CP12" i="38" s="1"/>
  <c r="CF47" i="38" a="1"/>
  <c r="CF47" i="38" s="1"/>
  <c r="CF38" i="38" a="1"/>
  <c r="CF38" i="38" s="1"/>
  <c r="CK23" i="38" a="1"/>
  <c r="CK23" i="38" s="1"/>
  <c r="CK21" i="38" a="1"/>
  <c r="CK21" i="38" s="1"/>
  <c r="DE21" i="38" s="1"/>
  <c r="CK25" i="38" a="1"/>
  <c r="CK25" i="38" s="1"/>
  <c r="CK18" i="38" a="1"/>
  <c r="CK18" i="38" s="1"/>
  <c r="DE18" i="38" s="1"/>
  <c r="CK20" i="38" a="1"/>
  <c r="CK20" i="38" s="1"/>
  <c r="DE20" i="38" s="1"/>
  <c r="CK22" i="38" a="1"/>
  <c r="CK22" i="38" s="1"/>
  <c r="CK19" i="38" a="1"/>
  <c r="CK19" i="38" s="1"/>
  <c r="DE19" i="38" s="1"/>
  <c r="CC47" i="38"/>
  <c r="CP47" i="38" s="1" a="1"/>
  <c r="CP47" i="38" s="1"/>
  <c r="CA47" i="38"/>
  <c r="CB47" i="38"/>
  <c r="CN47" i="38" s="1" a="1"/>
  <c r="CN47" i="38" s="1"/>
  <c r="CF52" i="38" a="1"/>
  <c r="CF52" i="38" s="1"/>
  <c r="CF17" i="38" a="1"/>
  <c r="CF17" i="38" s="1"/>
  <c r="BF18" i="38"/>
  <c r="BB18" i="38"/>
  <c r="CA17" i="38"/>
  <c r="CA24" i="38" s="1" a="1"/>
  <c r="CA24" i="38" s="1"/>
  <c r="CH24" i="38" s="1"/>
  <c r="CC17" i="38"/>
  <c r="CP17" i="38" s="1" a="1"/>
  <c r="CP17" i="38" s="1"/>
  <c r="CB17" i="38"/>
  <c r="CN17" i="38" s="1" a="1"/>
  <c r="CN17" i="38" s="1"/>
  <c r="CB26" i="38"/>
  <c r="CN26" i="38" s="1" a="1"/>
  <c r="CN26" i="38" s="1"/>
  <c r="CC26" i="38"/>
  <c r="CP26" i="38" s="1" a="1"/>
  <c r="CP26" i="38" s="1"/>
  <c r="CA26" i="38"/>
  <c r="CA36" i="38" s="1" a="1"/>
  <c r="CA36" i="38" s="1"/>
  <c r="CH36" i="38" s="1"/>
  <c r="W9" i="43"/>
  <c r="W10" i="43"/>
  <c r="W8" i="43"/>
  <c r="W7" i="43"/>
  <c r="O4" i="50" a="1"/>
  <c r="O4" i="50" s="1"/>
  <c r="CX62" i="38"/>
  <c r="DE62" i="38"/>
  <c r="DB62" i="38"/>
  <c r="CV62" i="38"/>
  <c r="CW62" i="38"/>
  <c r="DF62" i="38"/>
  <c r="DG62" i="38"/>
  <c r="CZ62" i="38"/>
  <c r="DA62" i="38"/>
  <c r="DC62" i="38"/>
  <c r="DD62" i="38"/>
  <c r="CY62" i="38"/>
  <c r="DM62" i="38"/>
  <c r="DI62" i="38"/>
  <c r="DH62" i="38"/>
  <c r="DJ62" i="38"/>
  <c r="DL62" i="38"/>
  <c r="DN62" i="38"/>
  <c r="DK62" i="38"/>
  <c r="DP62" i="38"/>
  <c r="DO62" i="38"/>
  <c r="DB64" i="38"/>
  <c r="DM64" i="38"/>
  <c r="CZ64" i="38"/>
  <c r="DE64" i="38"/>
  <c r="CV64" i="38"/>
  <c r="DF64" i="38"/>
  <c r="DC64" i="38"/>
  <c r="CY64" i="38"/>
  <c r="DD64" i="38"/>
  <c r="CW64" i="38"/>
  <c r="CX64" i="38"/>
  <c r="DG64" i="38"/>
  <c r="DA64" i="38"/>
  <c r="DJ64" i="38"/>
  <c r="DH64" i="38"/>
  <c r="DL64" i="38"/>
  <c r="DI64" i="38"/>
  <c r="DN64" i="38"/>
  <c r="DK64" i="38"/>
  <c r="DO64" i="38"/>
  <c r="DP64" i="38"/>
  <c r="CX63" i="38"/>
  <c r="CV63" i="38"/>
  <c r="DB63" i="38"/>
  <c r="CZ63" i="38"/>
  <c r="CY63" i="38"/>
  <c r="CW63" i="38"/>
  <c r="DD63" i="38"/>
  <c r="DA63" i="38"/>
  <c r="DE63" i="38"/>
  <c r="DM63" i="38"/>
  <c r="DF63" i="38"/>
  <c r="DC63" i="38"/>
  <c r="DG63" i="38"/>
  <c r="DI63" i="38"/>
  <c r="DL63" i="38"/>
  <c r="DH63" i="38"/>
  <c r="DJ63" i="38"/>
  <c r="DN63" i="38"/>
  <c r="DK63" i="38"/>
  <c r="DO63" i="38"/>
  <c r="DP63" i="38"/>
  <c r="CY1001" i="71"/>
  <c r="CZ1001" i="71"/>
  <c r="CV1001" i="71"/>
  <c r="DP1001" i="71"/>
  <c r="CX1001" i="71"/>
  <c r="CW1001" i="71"/>
  <c r="DA1001" i="71"/>
  <c r="DB1001" i="71"/>
  <c r="DC1001" i="71"/>
  <c r="DI1001" i="71"/>
  <c r="DH1001" i="71"/>
  <c r="DL1001" i="71"/>
  <c r="DK1001" i="71"/>
  <c r="DN1001" i="71"/>
  <c r="DO1001" i="71"/>
  <c r="DP1002" i="71"/>
  <c r="DD1002" i="71"/>
  <c r="DF1002" i="71"/>
  <c r="DG1002" i="71"/>
  <c r="DM1002" i="71"/>
  <c r="DE1002" i="71"/>
  <c r="DJ1002" i="71"/>
  <c r="DH1002" i="71"/>
  <c r="DN1002" i="71"/>
  <c r="DK1002" i="71"/>
  <c r="DO1002" i="71"/>
  <c r="DA1000" i="71"/>
  <c r="AV999" i="71" a="1"/>
  <c r="AV999" i="71" s="1"/>
  <c r="AX999" i="71" s="1"/>
  <c r="DE999" i="71" s="1"/>
  <c r="DD999" i="71"/>
  <c r="P6" i="85"/>
  <c r="BK1000" i="71"/>
  <c r="DL1000" i="71" s="1"/>
  <c r="DB1000" i="71"/>
  <c r="AA17" i="85"/>
  <c r="G17" i="85"/>
  <c r="H17" i="85" s="1"/>
  <c r="AS36" i="85"/>
  <c r="G36" i="85"/>
  <c r="H36" i="85" s="1"/>
  <c r="M18" i="193"/>
  <c r="F10" i="193" s="1"/>
  <c r="CE26" i="85"/>
  <c r="BB25" i="85"/>
  <c r="CD26" i="85"/>
  <c r="CC26" i="85"/>
  <c r="CA26" i="85"/>
  <c r="BB32" i="85"/>
  <c r="CB26" i="85"/>
  <c r="CQ998" i="71" a="1"/>
  <c r="CQ998" i="71" s="1"/>
  <c r="BM11" i="85"/>
  <c r="AY11" i="85"/>
  <c r="AZ11" i="85" s="1"/>
  <c r="AV1000" i="71" a="1"/>
  <c r="AV1000" i="71" s="1"/>
  <c r="AX1000" i="71" s="1"/>
  <c r="DE1000" i="71" s="1"/>
  <c r="DD1000" i="71"/>
  <c r="BM1000" i="71"/>
  <c r="DM1000" i="71" s="1"/>
  <c r="CC998" i="71"/>
  <c r="CP998" i="71" s="1" a="1"/>
  <c r="CP998" i="71" s="1"/>
  <c r="CS998" i="71" s="1" a="1"/>
  <c r="CS998" i="71" s="1"/>
  <c r="CB998" i="71"/>
  <c r="CN998" i="71" s="1" a="1"/>
  <c r="CN998" i="71" s="1"/>
  <c r="CR998" i="71" s="1" a="1"/>
  <c r="CR998" i="71" s="1"/>
  <c r="CA998" i="71"/>
  <c r="CH998" i="71" s="1"/>
  <c r="BX23" i="85"/>
  <c r="AY23" i="85"/>
  <c r="AZ23" i="85" s="1"/>
  <c r="CZ1000" i="71"/>
  <c r="CX1000" i="71"/>
  <c r="CW1000" i="71"/>
  <c r="CY1000" i="71"/>
  <c r="CV1000" i="71"/>
  <c r="DF1000" i="71"/>
  <c r="DI1000" i="71"/>
  <c r="BK999" i="71"/>
  <c r="DL999" i="71" s="1"/>
  <c r="DC999" i="71"/>
  <c r="BD999" i="71"/>
  <c r="DI999" i="71" s="1"/>
  <c r="AY17" i="85"/>
  <c r="AZ17" i="85" s="1"/>
  <c r="BS17" i="85"/>
  <c r="DC1000" i="71"/>
  <c r="CA62" i="38" l="1" a="1"/>
  <c r="CA62" i="38" s="1"/>
  <c r="CH62" i="38" s="1"/>
  <c r="CA63" i="38" a="1"/>
  <c r="CA63" i="38" s="1"/>
  <c r="CH63" i="38" s="1"/>
  <c r="CA64" i="38" a="1"/>
  <c r="CA64" i="38" s="1"/>
  <c r="CH64" i="38" s="1"/>
  <c r="AV12" i="44"/>
  <c r="AW12" i="44"/>
  <c r="DR24" i="38"/>
  <c r="DV24" i="38" s="1"/>
  <c r="CK56" i="38" a="1"/>
  <c r="CK56" i="38" s="1"/>
  <c r="DD56" i="38" s="1"/>
  <c r="CK55" i="38" a="1"/>
  <c r="CK55" i="38" s="1"/>
  <c r="CA56" i="38" a="1"/>
  <c r="CA56" i="38" s="1"/>
  <c r="CA55" i="38" a="1"/>
  <c r="CA55" i="38" s="1"/>
  <c r="CH55" i="38" s="1"/>
  <c r="CK58" i="38" a="1"/>
  <c r="CK58" i="38" s="1"/>
  <c r="DF58" i="38" s="1"/>
  <c r="CK57" i="38" a="1"/>
  <c r="CK57" i="38" s="1"/>
  <c r="CA58" i="38" a="1"/>
  <c r="CA58" i="38" s="1"/>
  <c r="CA57" i="38" a="1"/>
  <c r="CA57" i="38" s="1"/>
  <c r="DP45" i="38"/>
  <c r="CZ45" i="38"/>
  <c r="CY45" i="38"/>
  <c r="CX45" i="38"/>
  <c r="CV45" i="38"/>
  <c r="CW45" i="38"/>
  <c r="DD45" i="38"/>
  <c r="DA45" i="38"/>
  <c r="DB45" i="38"/>
  <c r="DF45" i="38"/>
  <c r="DE45" i="38"/>
  <c r="DM45" i="38"/>
  <c r="DC45" i="38"/>
  <c r="DH45" i="38"/>
  <c r="DG45" i="38"/>
  <c r="DI45" i="38"/>
  <c r="DL45" i="38"/>
  <c r="DK45" i="38"/>
  <c r="DJ45" i="38"/>
  <c r="DN45" i="38"/>
  <c r="DO45" i="38"/>
  <c r="CK42" i="38" a="1"/>
  <c r="CK42" i="38" s="1"/>
  <c r="CZ42" i="38" s="1"/>
  <c r="CK41" i="38" a="1"/>
  <c r="CK41" i="38" s="1"/>
  <c r="CA42" i="38" a="1"/>
  <c r="CA42" i="38" s="1"/>
  <c r="CA41" i="38" a="1"/>
  <c r="CA41" i="38" s="1"/>
  <c r="CH41" i="38" s="1"/>
  <c r="CK43" i="38" a="1"/>
  <c r="CK43" i="38" s="1"/>
  <c r="CA43" i="38" a="1"/>
  <c r="CA43" i="38" s="1"/>
  <c r="AV11" i="44"/>
  <c r="AW11" i="44"/>
  <c r="AV10" i="44"/>
  <c r="AW10" i="44"/>
  <c r="AV9" i="44"/>
  <c r="AW9" i="44"/>
  <c r="AV8" i="44"/>
  <c r="AW8" i="44"/>
  <c r="AW7" i="44"/>
  <c r="AV7" i="44"/>
  <c r="DP36" i="38"/>
  <c r="CZ36" i="38"/>
  <c r="CY36" i="38"/>
  <c r="CX36" i="38"/>
  <c r="CV36" i="38"/>
  <c r="CW36" i="38"/>
  <c r="DA36" i="38"/>
  <c r="DF36" i="38"/>
  <c r="DB36" i="38"/>
  <c r="DD36" i="38"/>
  <c r="DG36" i="38"/>
  <c r="DE36" i="38"/>
  <c r="DM36" i="38"/>
  <c r="DC36" i="38"/>
  <c r="DI36" i="38"/>
  <c r="DL36" i="38"/>
  <c r="DJ36" i="38"/>
  <c r="DH36" i="38"/>
  <c r="DK36" i="38"/>
  <c r="DN36" i="38"/>
  <c r="DO36" i="38"/>
  <c r="CK30" i="38" a="1"/>
  <c r="CK30" i="38" s="1"/>
  <c r="CK29" i="38" a="1"/>
  <c r="CK29" i="38" s="1"/>
  <c r="CA30" i="38" a="1"/>
  <c r="CA30" i="38" s="1"/>
  <c r="CA29" i="38" a="1"/>
  <c r="CA29" i="38" s="1"/>
  <c r="CH29" i="38" s="1"/>
  <c r="CK32" i="38" a="1"/>
  <c r="CK32" i="38" s="1"/>
  <c r="CK31" i="38" a="1"/>
  <c r="CK31" i="38" s="1"/>
  <c r="CA32" i="38" a="1"/>
  <c r="CA32" i="38" s="1"/>
  <c r="CH32" i="38" s="1"/>
  <c r="U32" i="38" s="1" a="1"/>
  <c r="U32" i="38" s="1"/>
  <c r="V32" i="38" s="1"/>
  <c r="CA31" i="38" a="1"/>
  <c r="CA31" i="38" s="1"/>
  <c r="CK34" i="38" a="1"/>
  <c r="CK34" i="38" s="1"/>
  <c r="CK33" i="38" a="1"/>
  <c r="CK33" i="38" s="1"/>
  <c r="CA34" i="38" a="1"/>
  <c r="CA34" i="38" s="1"/>
  <c r="CA33" i="38" a="1"/>
  <c r="CA33" i="38" s="1"/>
  <c r="DG18" i="38"/>
  <c r="DM13" i="38"/>
  <c r="DE13" i="38"/>
  <c r="DJ13" i="38"/>
  <c r="DM18" i="38"/>
  <c r="DM21" i="38"/>
  <c r="DJ18" i="38"/>
  <c r="CA28" i="38" a="1"/>
  <c r="CA28" i="38" s="1"/>
  <c r="CH28" i="38" s="1"/>
  <c r="CA27" i="38" a="1"/>
  <c r="CA27" i="38" s="1"/>
  <c r="CH27" i="38" s="1"/>
  <c r="AV27" i="38" s="1" a="1"/>
  <c r="AV27" i="38" s="1"/>
  <c r="AX27" i="38" s="1"/>
  <c r="CA35" i="38" a="1"/>
  <c r="CA35" i="38" s="1"/>
  <c r="CA37" i="38" a="1"/>
  <c r="CA37" i="38" s="1"/>
  <c r="CH37" i="38" s="1"/>
  <c r="CH26" i="38"/>
  <c r="CK48" i="38" a="1"/>
  <c r="CK48" i="38" s="1"/>
  <c r="CK51" i="38" a="1"/>
  <c r="CK51" i="38" s="1"/>
  <c r="CK49" i="38" a="1"/>
  <c r="CK49" i="38" s="1"/>
  <c r="CK50" i="38" a="1"/>
  <c r="CK50" i="38" s="1"/>
  <c r="CW19" i="38"/>
  <c r="CX19" i="38"/>
  <c r="DC19" i="38"/>
  <c r="CY19" i="38"/>
  <c r="DB19" i="38"/>
  <c r="CV19" i="38"/>
  <c r="CZ19" i="38"/>
  <c r="DA19" i="38"/>
  <c r="DL19" i="38"/>
  <c r="DI19" i="38"/>
  <c r="DF19" i="38"/>
  <c r="DD19" i="38"/>
  <c r="CM26" i="38" a="1"/>
  <c r="CM26" i="38" s="1"/>
  <c r="CO26" i="38" a="1"/>
  <c r="CO26" i="38" s="1"/>
  <c r="CS26" i="38" s="1" a="1"/>
  <c r="CS26" i="38" s="1"/>
  <c r="CK54" i="38" a="1"/>
  <c r="CK54" i="38" s="1"/>
  <c r="CK60" i="38" a="1"/>
  <c r="CK60" i="38" s="1"/>
  <c r="CK59" i="38" a="1"/>
  <c r="CK59" i="38" s="1"/>
  <c r="CK53" i="38" a="1"/>
  <c r="CK53" i="38" s="1"/>
  <c r="BF19" i="38"/>
  <c r="DJ19" i="38" s="1"/>
  <c r="DG19" i="38"/>
  <c r="BB19" i="38"/>
  <c r="CO12" i="38" a="1"/>
  <c r="CO12" i="38" s="1"/>
  <c r="CS12" i="38" s="1" a="1"/>
  <c r="CS12" i="38" s="1"/>
  <c r="DD22" i="38"/>
  <c r="CX22" i="38"/>
  <c r="DB22" i="38"/>
  <c r="DA22" i="38"/>
  <c r="DE22" i="38"/>
  <c r="CY22" i="38"/>
  <c r="DM22" i="38"/>
  <c r="CV22" i="38"/>
  <c r="CW22" i="38"/>
  <c r="DF22" i="38"/>
  <c r="CZ22" i="38"/>
  <c r="DC22" i="38"/>
  <c r="DG22" i="38"/>
  <c r="DJ22" i="38"/>
  <c r="DL22" i="38"/>
  <c r="DH22" i="38"/>
  <c r="DI22" i="38"/>
  <c r="DN22" i="38"/>
  <c r="DK22" i="38"/>
  <c r="DO22" i="38"/>
  <c r="DP22" i="38"/>
  <c r="DR22" i="38" s="1"/>
  <c r="DV22" i="38" s="1"/>
  <c r="DX22" i="38" s="1"/>
  <c r="EB22" i="38" s="1"/>
  <c r="CO38" i="38" a="1"/>
  <c r="CO38" i="38" s="1"/>
  <c r="CS38" i="38" s="1" a="1"/>
  <c r="CS38" i="38" s="1"/>
  <c r="CM38" i="38" a="1"/>
  <c r="CM38" i="38" s="1"/>
  <c r="CK39" i="38" a="1"/>
  <c r="CK39" i="38" s="1"/>
  <c r="CK46" i="38" a="1"/>
  <c r="CK46" i="38" s="1"/>
  <c r="CK44" i="38" a="1"/>
  <c r="CK44" i="38" s="1"/>
  <c r="CK40" i="38" a="1"/>
  <c r="CK40" i="38" s="1"/>
  <c r="DA15" i="38"/>
  <c r="DM15" i="38"/>
  <c r="CY15" i="38"/>
  <c r="CW15" i="38"/>
  <c r="CX15" i="38"/>
  <c r="DG15" i="38"/>
  <c r="DF15" i="38"/>
  <c r="DB15" i="38"/>
  <c r="DJ15" i="38"/>
  <c r="DD15" i="38"/>
  <c r="CZ15" i="38"/>
  <c r="CV15" i="38"/>
  <c r="DC15" i="38"/>
  <c r="DE15" i="38"/>
  <c r="DI15" i="38"/>
  <c r="DL15" i="38"/>
  <c r="DH15" i="38"/>
  <c r="DK15" i="38"/>
  <c r="DN15" i="38"/>
  <c r="DP15" i="38"/>
  <c r="DR15" i="38" s="1"/>
  <c r="DV15" i="38" s="1"/>
  <c r="DX15" i="38" s="1"/>
  <c r="EB15" i="38" s="1"/>
  <c r="DO15" i="38"/>
  <c r="DJ20" i="38"/>
  <c r="CM17" i="38" a="1"/>
  <c r="CM17" i="38" s="1"/>
  <c r="CO17" i="38" a="1"/>
  <c r="CO17" i="38" s="1"/>
  <c r="CS17" i="38" s="1" a="1"/>
  <c r="CS17" i="38" s="1"/>
  <c r="CW20" i="38"/>
  <c r="DB20" i="38"/>
  <c r="DA20" i="38"/>
  <c r="CX20" i="38"/>
  <c r="CY20" i="38"/>
  <c r="CV20" i="38"/>
  <c r="DC20" i="38"/>
  <c r="CZ20" i="38"/>
  <c r="DI20" i="38"/>
  <c r="DL20" i="38"/>
  <c r="DF20" i="38"/>
  <c r="DD20" i="38"/>
  <c r="CO47" i="38" a="1"/>
  <c r="CO47" i="38" s="1"/>
  <c r="CS47" i="38" s="1" a="1"/>
  <c r="CS47" i="38" s="1"/>
  <c r="CM47" i="38" a="1"/>
  <c r="CM47" i="38" s="1"/>
  <c r="DB13" i="38"/>
  <c r="DL13" i="38"/>
  <c r="CX13" i="38"/>
  <c r="CY13" i="38"/>
  <c r="CW13" i="38"/>
  <c r="DC13" i="38"/>
  <c r="DA13" i="38"/>
  <c r="CV13" i="38"/>
  <c r="CZ13" i="38"/>
  <c r="DI13" i="38"/>
  <c r="DF13" i="38"/>
  <c r="DD13" i="38"/>
  <c r="CA54" i="38" a="1"/>
  <c r="CA54" i="38" s="1"/>
  <c r="CH54" i="38" s="1"/>
  <c r="CH52" i="38"/>
  <c r="CA59" i="38" a="1"/>
  <c r="CA59" i="38" s="1"/>
  <c r="CH59" i="38" s="1"/>
  <c r="CA60" i="38" a="1"/>
  <c r="CA60" i="38" s="1"/>
  <c r="CH60" i="38" s="1"/>
  <c r="CA53" i="38" a="1"/>
  <c r="CA53" i="38" s="1"/>
  <c r="CH53" i="38" s="1"/>
  <c r="AV53" i="38" s="1" a="1"/>
  <c r="AV53" i="38" s="1"/>
  <c r="AX53" i="38" s="1"/>
  <c r="BJ20" i="38" a="1"/>
  <c r="BJ20" i="38" s="1"/>
  <c r="BN20" i="38" a="1"/>
  <c r="BN20" i="38" s="1"/>
  <c r="BO20" i="38" s="1"/>
  <c r="DN20" i="38" s="1"/>
  <c r="BL20" i="38" a="1"/>
  <c r="BL20" i="38" s="1"/>
  <c r="BE20" i="38" a="1"/>
  <c r="BE20" i="38" s="1"/>
  <c r="BG20" i="38" a="1"/>
  <c r="BG20" i="38" s="1"/>
  <c r="BH20" i="38" s="1"/>
  <c r="DK20" i="38" s="1"/>
  <c r="BC20" i="38" a="1"/>
  <c r="BC20" i="38" s="1"/>
  <c r="DH20" i="38"/>
  <c r="DD18" i="38"/>
  <c r="DI18" i="38"/>
  <c r="CV18" i="38"/>
  <c r="DC18" i="38"/>
  <c r="DA18" i="38"/>
  <c r="CZ18" i="38"/>
  <c r="CW18" i="38"/>
  <c r="CY18" i="38"/>
  <c r="DB18" i="38"/>
  <c r="CX18" i="38"/>
  <c r="DL18" i="38"/>
  <c r="DF18" i="38"/>
  <c r="CV16" i="38"/>
  <c r="CZ16" i="38"/>
  <c r="CW16" i="38"/>
  <c r="CX16" i="38"/>
  <c r="DF16" i="38"/>
  <c r="CY16" i="38"/>
  <c r="DA16" i="38"/>
  <c r="DE16" i="38"/>
  <c r="DM16" i="38"/>
  <c r="DB16" i="38"/>
  <c r="DD16" i="38"/>
  <c r="DG16" i="38"/>
  <c r="DJ16" i="38"/>
  <c r="DC16" i="38"/>
  <c r="DH16" i="38"/>
  <c r="DL16" i="38"/>
  <c r="DI16" i="38"/>
  <c r="DK16" i="38"/>
  <c r="DN16" i="38"/>
  <c r="DO16" i="38"/>
  <c r="DP16" i="38"/>
  <c r="DG20" i="38"/>
  <c r="CM52" i="38" a="1"/>
  <c r="CM52" i="38" s="1"/>
  <c r="CO52" i="38" a="1"/>
  <c r="CO52" i="38" s="1"/>
  <c r="CS52" i="38" s="1" a="1"/>
  <c r="CS52" i="38" s="1"/>
  <c r="CV25" i="38"/>
  <c r="CW25" i="38"/>
  <c r="DD25" i="38"/>
  <c r="DF25" i="38"/>
  <c r="DA25" i="38"/>
  <c r="CZ25" i="38"/>
  <c r="DB25" i="38"/>
  <c r="DI25" i="38"/>
  <c r="DC25" i="38"/>
  <c r="CX25" i="38"/>
  <c r="CY25" i="38"/>
  <c r="DM25" i="38"/>
  <c r="DE25" i="38"/>
  <c r="DL25" i="38"/>
  <c r="DG25" i="38"/>
  <c r="DJ25" i="38"/>
  <c r="DH25" i="38"/>
  <c r="DN25" i="38"/>
  <c r="DK25" i="38"/>
  <c r="DO25" i="38"/>
  <c r="DP25" i="38"/>
  <c r="DR25" i="38" s="1"/>
  <c r="DV25" i="38" s="1"/>
  <c r="DX25" i="38" s="1"/>
  <c r="EB25" i="38" s="1"/>
  <c r="CA13" i="38" a="1"/>
  <c r="CA13" i="38" s="1"/>
  <c r="CH13" i="38" s="1"/>
  <c r="CA15" i="38" a="1"/>
  <c r="CA15" i="38" s="1"/>
  <c r="CH15" i="38" s="1"/>
  <c r="CA16" i="38" a="1"/>
  <c r="CA16" i="38" s="1"/>
  <c r="CH16" i="38" s="1"/>
  <c r="CH12" i="38"/>
  <c r="CA14" i="38" a="1"/>
  <c r="CA14" i="38" s="1"/>
  <c r="CH14" i="38" s="1"/>
  <c r="CA39" i="38" a="1"/>
  <c r="CA39" i="38" s="1"/>
  <c r="CH39" i="38" s="1"/>
  <c r="AV39" i="38" s="1" a="1"/>
  <c r="AV39" i="38" s="1"/>
  <c r="AX39" i="38" s="1"/>
  <c r="CA40" i="38" a="1"/>
  <c r="CA40" i="38" s="1"/>
  <c r="CH40" i="38" s="1"/>
  <c r="CH38" i="38"/>
  <c r="CA44" i="38" a="1"/>
  <c r="CA44" i="38" s="1"/>
  <c r="CA46" i="38" a="1"/>
  <c r="CA46" i="38" s="1"/>
  <c r="CH46" i="38" s="1"/>
  <c r="DF14" i="38"/>
  <c r="DB14" i="38"/>
  <c r="DD14" i="38"/>
  <c r="CX14" i="38"/>
  <c r="CW14" i="38"/>
  <c r="DM14" i="38"/>
  <c r="CZ14" i="38"/>
  <c r="CV14" i="38"/>
  <c r="DA14" i="38"/>
  <c r="DE14" i="38"/>
  <c r="CY14" i="38"/>
  <c r="DG14" i="38"/>
  <c r="DJ14" i="38"/>
  <c r="DI14" i="38"/>
  <c r="DH14" i="38"/>
  <c r="DC14" i="38"/>
  <c r="DL14" i="38"/>
  <c r="DN14" i="38"/>
  <c r="DK14" i="38"/>
  <c r="DP14" i="38"/>
  <c r="DO14" i="38"/>
  <c r="BG21" i="38" a="1"/>
  <c r="BG21" i="38" s="1"/>
  <c r="BH21" i="38" s="1"/>
  <c r="DK21" i="38" s="1"/>
  <c r="BC21" i="38" a="1"/>
  <c r="BC21" i="38" s="1"/>
  <c r="BN21" i="38" a="1"/>
  <c r="BN21" i="38" s="1"/>
  <c r="BO21" i="38" s="1"/>
  <c r="DN21" i="38" s="1"/>
  <c r="BJ21" i="38" a="1"/>
  <c r="BJ21" i="38" s="1"/>
  <c r="BE21" i="38" a="1"/>
  <c r="BE21" i="38" s="1"/>
  <c r="DH21" i="38"/>
  <c r="BL21" i="38" a="1"/>
  <c r="BL21" i="38" s="1"/>
  <c r="CZ21" i="38"/>
  <c r="CV21" i="38"/>
  <c r="DA21" i="38"/>
  <c r="CY21" i="38"/>
  <c r="CX21" i="38"/>
  <c r="CW21" i="38"/>
  <c r="DB21" i="38"/>
  <c r="DC21" i="38"/>
  <c r="DL21" i="38"/>
  <c r="DF21" i="38"/>
  <c r="DI21" i="38"/>
  <c r="DD21" i="38"/>
  <c r="CK27" i="38" a="1"/>
  <c r="CK27" i="38" s="1"/>
  <c r="CK28" i="38" a="1"/>
  <c r="CK28" i="38" s="1"/>
  <c r="CK37" i="38" a="1"/>
  <c r="CK37" i="38" s="1"/>
  <c r="CK35" i="38" a="1"/>
  <c r="CK35" i="38" s="1"/>
  <c r="BN13" i="38" a="1"/>
  <c r="BN13" i="38" s="1"/>
  <c r="BO13" i="38" s="1"/>
  <c r="DN13" i="38" s="1"/>
  <c r="BJ13" i="38" a="1"/>
  <c r="BJ13" i="38" s="1"/>
  <c r="BG13" i="38" a="1"/>
  <c r="BG13" i="38" s="1"/>
  <c r="BH13" i="38" s="1"/>
  <c r="DK13" i="38" s="1"/>
  <c r="BL13" i="38" a="1"/>
  <c r="BL13" i="38" s="1"/>
  <c r="BE13" i="38" a="1"/>
  <c r="BE13" i="38" s="1"/>
  <c r="BC13" i="38" a="1"/>
  <c r="BC13" i="38" s="1"/>
  <c r="DH13" i="38"/>
  <c r="DJ21" i="38"/>
  <c r="CA18" i="38" a="1"/>
  <c r="CA18" i="38" s="1"/>
  <c r="CH18" i="38" s="1"/>
  <c r="CH17" i="38"/>
  <c r="CA23" i="38" a="1"/>
  <c r="CA23" i="38" s="1"/>
  <c r="CA25" i="38" a="1"/>
  <c r="CA25" i="38" s="1"/>
  <c r="CH25" i="38" s="1"/>
  <c r="CA21" i="38" a="1"/>
  <c r="CA21" i="38" s="1"/>
  <c r="CH21" i="38" s="1"/>
  <c r="CA20" i="38" a="1"/>
  <c r="CA20" i="38" s="1"/>
  <c r="CH20" i="38" s="1"/>
  <c r="CA22" i="38" a="1"/>
  <c r="CA22" i="38" s="1"/>
  <c r="CH22" i="38" s="1"/>
  <c r="CA19" i="38" a="1"/>
  <c r="CA19" i="38" s="1"/>
  <c r="CH19" i="38" s="1"/>
  <c r="BJ18" i="38" a="1"/>
  <c r="BJ18" i="38" s="1"/>
  <c r="BL18" i="38" a="1"/>
  <c r="BL18" i="38" s="1"/>
  <c r="DH18" i="38"/>
  <c r="BG18" i="38" a="1"/>
  <c r="BG18" i="38" s="1"/>
  <c r="BH18" i="38" s="1"/>
  <c r="DK18" i="38" s="1"/>
  <c r="BE18" i="38" a="1"/>
  <c r="BE18" i="38" s="1"/>
  <c r="BC18" i="38" a="1"/>
  <c r="BC18" i="38" s="1"/>
  <c r="BN18" i="38" a="1"/>
  <c r="BN18" i="38" s="1"/>
  <c r="BO18" i="38" s="1"/>
  <c r="DN18" i="38" s="1"/>
  <c r="CH47" i="38"/>
  <c r="CA51" i="38" a="1"/>
  <c r="CA51" i="38" s="1"/>
  <c r="CH51" i="38" s="1"/>
  <c r="CA50" i="38" a="1"/>
  <c r="CA50" i="38" s="1"/>
  <c r="CH50" i="38" s="1"/>
  <c r="CA48" i="38" a="1"/>
  <c r="CA48" i="38" s="1"/>
  <c r="CH48" i="38" s="1"/>
  <c r="AV48" i="38" s="1" a="1"/>
  <c r="AV48" i="38" s="1"/>
  <c r="AX48" i="38" s="1"/>
  <c r="CA49" i="38" a="1"/>
  <c r="CA49" i="38" s="1"/>
  <c r="CH49" i="38" s="1"/>
  <c r="CZ23" i="38"/>
  <c r="DF23" i="38"/>
  <c r="CW23" i="38"/>
  <c r="CY23" i="38"/>
  <c r="DD23" i="38"/>
  <c r="DM23" i="38"/>
  <c r="DE23" i="38"/>
  <c r="DG23" i="38"/>
  <c r="DJ23" i="38"/>
  <c r="CM12" i="38" a="1"/>
  <c r="CM12" i="38" s="1"/>
  <c r="DM19" i="38"/>
  <c r="DM20" i="38"/>
  <c r="DG21" i="38"/>
  <c r="DJ61" i="38"/>
  <c r="DH61" i="38"/>
  <c r="DO61" i="38"/>
  <c r="DM61" i="38"/>
  <c r="CZ61" i="38"/>
  <c r="DR63" i="38"/>
  <c r="DG61" i="38"/>
  <c r="DI61" i="38"/>
  <c r="DF61" i="38"/>
  <c r="CW61" i="38"/>
  <c r="DP61" i="38"/>
  <c r="DR62" i="38"/>
  <c r="DV62" i="38" s="1"/>
  <c r="CY61" i="38"/>
  <c r="CV61" i="38"/>
  <c r="DK61" i="38"/>
  <c r="DD61" i="38"/>
  <c r="DB61" i="38"/>
  <c r="DN61" i="38"/>
  <c r="DC61" i="38"/>
  <c r="DE61" i="38"/>
  <c r="DR64" i="38"/>
  <c r="DV64" i="38" s="1"/>
  <c r="DX64" i="38" s="1"/>
  <c r="EB64" i="38" s="1"/>
  <c r="DL61" i="38"/>
  <c r="DA61" i="38"/>
  <c r="CX61" i="38"/>
  <c r="DV1001" i="71"/>
  <c r="DR1001" i="71"/>
  <c r="DV1002" i="71"/>
  <c r="EB1002" i="71" s="1"/>
  <c r="DR1002" i="71"/>
  <c r="BA999" i="71"/>
  <c r="BB999" i="71" s="1"/>
  <c r="F8" i="193"/>
  <c r="BZ25" i="85"/>
  <c r="AY25" i="85"/>
  <c r="AZ25" i="85" s="1"/>
  <c r="CF32" i="85"/>
  <c r="BB30" i="85"/>
  <c r="BA1000" i="71"/>
  <c r="DE39" i="38" l="1"/>
  <c r="CH23" i="38"/>
  <c r="U23" i="38" s="1" a="1"/>
  <c r="U23" i="38" s="1"/>
  <c r="V23" i="38" s="1"/>
  <c r="CX23" i="38" s="1"/>
  <c r="AM23" i="38" a="1"/>
  <c r="AM23" i="38" s="1"/>
  <c r="CW56" i="38"/>
  <c r="DF56" i="38"/>
  <c r="AM12" i="44"/>
  <c r="I23" i="38" s="1" a="1"/>
  <c r="I23" i="38" s="1"/>
  <c r="J23" i="38" s="1"/>
  <c r="DX24" i="38"/>
  <c r="EB24" i="38" s="1"/>
  <c r="DM56" i="38"/>
  <c r="DJ56" i="38"/>
  <c r="CY56" i="38"/>
  <c r="DG56" i="38"/>
  <c r="CZ56" i="38"/>
  <c r="DE56" i="38"/>
  <c r="DG58" i="38"/>
  <c r="CH57" i="38"/>
  <c r="U57" i="38" s="1" a="1"/>
  <c r="U57" i="38" s="1"/>
  <c r="V57" i="38" s="1"/>
  <c r="CX57" i="38" s="1"/>
  <c r="AM57" i="38" a="1"/>
  <c r="AM57" i="38" s="1"/>
  <c r="CH58" i="38"/>
  <c r="U58" i="38" s="1" a="1"/>
  <c r="U58" i="38" s="1"/>
  <c r="V58" i="38" s="1"/>
  <c r="AM58" i="38" a="1"/>
  <c r="AM58" i="38" s="1"/>
  <c r="CH56" i="38"/>
  <c r="U56" i="38" s="1" a="1"/>
  <c r="U56" i="38" s="1"/>
  <c r="V56" i="38" s="1"/>
  <c r="AM56" i="38" a="1"/>
  <c r="AM56" i="38" s="1"/>
  <c r="DP55" i="38"/>
  <c r="CZ55" i="38"/>
  <c r="CY55" i="38"/>
  <c r="CX55" i="38"/>
  <c r="CV55" i="38"/>
  <c r="CW55" i="38"/>
  <c r="DD55" i="38"/>
  <c r="DF55" i="38"/>
  <c r="DB55" i="38"/>
  <c r="DA55" i="38"/>
  <c r="DC55" i="38"/>
  <c r="DM55" i="38"/>
  <c r="DE55" i="38"/>
  <c r="DL55" i="38"/>
  <c r="DI55" i="38"/>
  <c r="DG55" i="38"/>
  <c r="DJ55" i="38"/>
  <c r="DH55" i="38"/>
  <c r="DN55" i="38"/>
  <c r="DK55" i="38"/>
  <c r="DO55" i="38"/>
  <c r="DJ58" i="38"/>
  <c r="DE58" i="38"/>
  <c r="CW58" i="38"/>
  <c r="DM58" i="38"/>
  <c r="CY58" i="38"/>
  <c r="CZ58" i="38"/>
  <c r="DD58" i="38"/>
  <c r="CZ57" i="38"/>
  <c r="CY57" i="38"/>
  <c r="CW57" i="38"/>
  <c r="DD57" i="38"/>
  <c r="DF57" i="38"/>
  <c r="DE57" i="38"/>
  <c r="DM57" i="38"/>
  <c r="DG57" i="38"/>
  <c r="DJ57" i="38"/>
  <c r="CH44" i="38"/>
  <c r="U44" i="38" s="1" a="1"/>
  <c r="U44" i="38" s="1"/>
  <c r="V44" i="38" s="1"/>
  <c r="CX44" i="38" s="1"/>
  <c r="AM44" i="38" a="1"/>
  <c r="AM44" i="38" s="1"/>
  <c r="CH43" i="38"/>
  <c r="U43" i="38" s="1" a="1"/>
  <c r="U43" i="38" s="1"/>
  <c r="V43" i="38" s="1"/>
  <c r="AM43" i="38" a="1"/>
  <c r="AM43" i="38" s="1"/>
  <c r="DJ42" i="38"/>
  <c r="DM42" i="38"/>
  <c r="CH42" i="38"/>
  <c r="U42" i="38" s="1" a="1"/>
  <c r="U42" i="38" s="1"/>
  <c r="V42" i="38" s="1"/>
  <c r="CX42" i="38" s="1"/>
  <c r="AM42" i="38" a="1"/>
  <c r="AM42" i="38" s="1"/>
  <c r="DF42" i="38"/>
  <c r="DG42" i="38"/>
  <c r="DD42" i="38"/>
  <c r="DE42" i="38"/>
  <c r="CW42" i="38"/>
  <c r="CY42" i="38"/>
  <c r="DR45" i="38"/>
  <c r="DV45" i="38" s="1"/>
  <c r="CZ41" i="38"/>
  <c r="CY41" i="38"/>
  <c r="DP41" i="38"/>
  <c r="CX41" i="38"/>
  <c r="CW41" i="38"/>
  <c r="CV41" i="38"/>
  <c r="DF41" i="38"/>
  <c r="DD41" i="38"/>
  <c r="DA41" i="38"/>
  <c r="DB41" i="38"/>
  <c r="DC41" i="38"/>
  <c r="DL41" i="38"/>
  <c r="DE41" i="38"/>
  <c r="DM41" i="38"/>
  <c r="DI41" i="38"/>
  <c r="DG41" i="38"/>
  <c r="DH41" i="38"/>
  <c r="DJ41" i="38"/>
  <c r="DN41" i="38"/>
  <c r="DK41" i="38"/>
  <c r="DO41" i="38"/>
  <c r="DM43" i="38"/>
  <c r="DG43" i="38"/>
  <c r="CW43" i="38"/>
  <c r="DD43" i="38"/>
  <c r="DE43" i="38"/>
  <c r="CY43" i="38"/>
  <c r="DJ43" i="38"/>
  <c r="DF43" i="38"/>
  <c r="CZ43" i="38"/>
  <c r="AN32" i="38" a="1"/>
  <c r="AN32" i="38" s="1"/>
  <c r="AO32" i="38"/>
  <c r="DB32" i="38" s="1"/>
  <c r="AG32" i="38" a="1"/>
  <c r="AG32" i="38" s="1"/>
  <c r="AL32" i="38" s="1"/>
  <c r="AM11" i="44"/>
  <c r="I35" i="38" s="1" a="1"/>
  <c r="I35" i="38" s="1"/>
  <c r="J35" i="38" s="1"/>
  <c r="CV35" i="38" s="1"/>
  <c r="CH35" i="38"/>
  <c r="U35" i="38" s="1" a="1"/>
  <c r="U35" i="38" s="1"/>
  <c r="V35" i="38" s="1"/>
  <c r="CX35" i="38" s="1"/>
  <c r="AM35" i="38" a="1"/>
  <c r="AM35" i="38" s="1"/>
  <c r="CH34" i="38"/>
  <c r="U34" i="38" s="1" a="1"/>
  <c r="U34" i="38" s="1"/>
  <c r="V34" i="38" s="1"/>
  <c r="CX34" i="38" s="1"/>
  <c r="AM34" i="38" a="1"/>
  <c r="AM34" i="38" s="1"/>
  <c r="AM10" i="44"/>
  <c r="I34" i="38" s="1" a="1"/>
  <c r="I34" i="38" s="1"/>
  <c r="J34" i="38" s="1"/>
  <c r="CV34" i="38" s="1"/>
  <c r="CH33" i="38"/>
  <c r="U33" i="38" s="1" a="1"/>
  <c r="U33" i="38" s="1"/>
  <c r="V33" i="38" s="1"/>
  <c r="CX33" i="38" s="1"/>
  <c r="AM33" i="38" a="1"/>
  <c r="AM33" i="38" s="1"/>
  <c r="AM9" i="44"/>
  <c r="I33" i="38" s="1" a="1"/>
  <c r="I33" i="38" s="1"/>
  <c r="J33" i="38" s="1"/>
  <c r="CV33" i="38" s="1"/>
  <c r="CH31" i="38"/>
  <c r="U31" i="38" s="1" a="1"/>
  <c r="U31" i="38" s="1"/>
  <c r="V31" i="38" s="1"/>
  <c r="CX31" i="38" s="1"/>
  <c r="AM31" i="38" a="1"/>
  <c r="AM31" i="38" s="1"/>
  <c r="DG32" i="38"/>
  <c r="AM8" i="44"/>
  <c r="I31" i="38" s="1" a="1"/>
  <c r="I31" i="38" s="1"/>
  <c r="J31" i="38" s="1"/>
  <c r="CV31" i="38" s="1"/>
  <c r="CH30" i="38"/>
  <c r="U30" i="38" s="1" a="1"/>
  <c r="U30" i="38" s="1"/>
  <c r="V30" i="38" s="1"/>
  <c r="AM30" i="38" a="1"/>
  <c r="AM30" i="38" s="1"/>
  <c r="DJ30" i="38"/>
  <c r="DE34" i="38"/>
  <c r="DE30" i="38"/>
  <c r="DM34" i="38"/>
  <c r="CW30" i="38"/>
  <c r="DF30" i="38"/>
  <c r="AM7" i="44"/>
  <c r="I30" i="38" s="1" a="1"/>
  <c r="I30" i="38" s="1"/>
  <c r="J30" i="38" s="1"/>
  <c r="CV30" i="38" s="1"/>
  <c r="DF32" i="38"/>
  <c r="DM30" i="38"/>
  <c r="CW32" i="38"/>
  <c r="DG30" i="38"/>
  <c r="CY30" i="38"/>
  <c r="DJ34" i="38"/>
  <c r="DJ32" i="38"/>
  <c r="CV32" i="38"/>
  <c r="DD30" i="38"/>
  <c r="CZ30" i="38"/>
  <c r="DR36" i="38"/>
  <c r="DV36" i="38" s="1"/>
  <c r="CZ29" i="38"/>
  <c r="DP29" i="38"/>
  <c r="CY29" i="38"/>
  <c r="CW29" i="38"/>
  <c r="CV29" i="38"/>
  <c r="CX29" i="38"/>
  <c r="DD29" i="38"/>
  <c r="DF29" i="38"/>
  <c r="DB29" i="38"/>
  <c r="DA29" i="38"/>
  <c r="DG29" i="38"/>
  <c r="DE29" i="38"/>
  <c r="DC29" i="38"/>
  <c r="DM29" i="38"/>
  <c r="DI29" i="38"/>
  <c r="DJ29" i="38"/>
  <c r="DL29" i="38"/>
  <c r="DH29" i="38"/>
  <c r="DK29" i="38"/>
  <c r="DN29" i="38"/>
  <c r="DO29" i="38"/>
  <c r="DM32" i="38"/>
  <c r="CX32" i="38"/>
  <c r="CW34" i="38"/>
  <c r="DE32" i="38"/>
  <c r="CY32" i="38"/>
  <c r="CZ32" i="38"/>
  <c r="DD32" i="38"/>
  <c r="CZ31" i="38"/>
  <c r="CW31" i="38"/>
  <c r="CY31" i="38"/>
  <c r="DD31" i="38"/>
  <c r="DF31" i="38"/>
  <c r="DE31" i="38"/>
  <c r="DM31" i="38"/>
  <c r="DG31" i="38"/>
  <c r="DJ31" i="38"/>
  <c r="DF34" i="38"/>
  <c r="DG34" i="38"/>
  <c r="CY34" i="38"/>
  <c r="DD34" i="38"/>
  <c r="CZ34" i="38"/>
  <c r="CZ33" i="38"/>
  <c r="CY33" i="38"/>
  <c r="CW33" i="38"/>
  <c r="DF33" i="38"/>
  <c r="DD33" i="38"/>
  <c r="DG33" i="38"/>
  <c r="DM33" i="38"/>
  <c r="DE33" i="38"/>
  <c r="DJ33" i="38"/>
  <c r="DE48" i="38"/>
  <c r="DG12" i="38"/>
  <c r="DJ12" i="38"/>
  <c r="DK12" i="38"/>
  <c r="DE53" i="38"/>
  <c r="DM17" i="38"/>
  <c r="DN12" i="38"/>
  <c r="DG17" i="38"/>
  <c r="DM12" i="38"/>
  <c r="DE17" i="38"/>
  <c r="DJ17" i="38"/>
  <c r="BI18" i="38"/>
  <c r="BP18" i="38" s="1" a="1"/>
  <c r="BP18" i="38" s="1"/>
  <c r="BR18" i="38" s="1"/>
  <c r="DO18" i="38" s="1"/>
  <c r="AY48" i="38" a="1"/>
  <c r="AY48" i="38" s="1"/>
  <c r="AZ48" i="38" s="1"/>
  <c r="DF48" i="38" s="1"/>
  <c r="AY39" i="38" a="1"/>
  <c r="AY39" i="38" s="1"/>
  <c r="AZ39" i="38" s="1"/>
  <c r="DF39" i="38" s="1"/>
  <c r="BI13" i="38"/>
  <c r="BP13" i="38" s="1" a="1"/>
  <c r="BP13" i="38" s="1"/>
  <c r="BR13" i="38" s="1"/>
  <c r="DO13" i="38" s="1"/>
  <c r="DO12" i="38" s="1"/>
  <c r="BI21" i="38"/>
  <c r="BP21" i="38" s="1" a="1"/>
  <c r="BP21" i="38" s="1"/>
  <c r="BR21" i="38" s="1"/>
  <c r="DO21" i="38" s="1"/>
  <c r="CW17" i="38"/>
  <c r="DE12" i="38"/>
  <c r="DA12" i="38"/>
  <c r="DM44" i="38"/>
  <c r="CZ44" i="38"/>
  <c r="DF44" i="38"/>
  <c r="DE44" i="38"/>
  <c r="DD44" i="38"/>
  <c r="CY44" i="38"/>
  <c r="CW44" i="38"/>
  <c r="DG44" i="38"/>
  <c r="DJ44" i="38"/>
  <c r="CW59" i="38"/>
  <c r="DF59" i="38"/>
  <c r="CZ59" i="38"/>
  <c r="DD59" i="38"/>
  <c r="CV59" i="38"/>
  <c r="CY59" i="38"/>
  <c r="DB59" i="38"/>
  <c r="CX59" i="38"/>
  <c r="DA59" i="38"/>
  <c r="DE59" i="38"/>
  <c r="DM59" i="38"/>
  <c r="DI59" i="38"/>
  <c r="DC59" i="38"/>
  <c r="DG59" i="38"/>
  <c r="DL59" i="38"/>
  <c r="DH59" i="38"/>
  <c r="DN59" i="38"/>
  <c r="DJ59" i="38"/>
  <c r="DK59" i="38"/>
  <c r="DO59" i="38"/>
  <c r="DP59" i="38"/>
  <c r="DB51" i="38"/>
  <c r="DM51" i="38"/>
  <c r="CX51" i="38"/>
  <c r="CZ51" i="38"/>
  <c r="DE51" i="38"/>
  <c r="DF51" i="38"/>
  <c r="DG51" i="38"/>
  <c r="DJ51" i="38"/>
  <c r="DD51" i="38"/>
  <c r="CV51" i="38"/>
  <c r="DC51" i="38"/>
  <c r="CY51" i="38"/>
  <c r="CW51" i="38"/>
  <c r="DA51" i="38"/>
  <c r="DL51" i="38"/>
  <c r="DH51" i="38"/>
  <c r="DI51" i="38"/>
  <c r="DK51" i="38"/>
  <c r="DN51" i="38"/>
  <c r="DP51" i="38"/>
  <c r="DR51" i="38" s="1"/>
  <c r="DV51" i="38" s="1"/>
  <c r="DX51" i="38" s="1"/>
  <c r="EB51" i="38" s="1"/>
  <c r="DO51" i="38"/>
  <c r="DH12" i="38"/>
  <c r="CW37" i="38"/>
  <c r="CZ37" i="38"/>
  <c r="DB37" i="38"/>
  <c r="CX37" i="38"/>
  <c r="CV37" i="38"/>
  <c r="CY37" i="38"/>
  <c r="DA37" i="38"/>
  <c r="DD37" i="38"/>
  <c r="DC37" i="38"/>
  <c r="DF37" i="38"/>
  <c r="DL37" i="38"/>
  <c r="DE37" i="38"/>
  <c r="DM37" i="38"/>
  <c r="DI37" i="38"/>
  <c r="DG37" i="38"/>
  <c r="DH37" i="38"/>
  <c r="DJ37" i="38"/>
  <c r="DN37" i="38"/>
  <c r="DK37" i="38"/>
  <c r="DO37" i="38"/>
  <c r="DP37" i="38"/>
  <c r="AY53" i="38" a="1"/>
  <c r="AY53" i="38" s="1"/>
  <c r="AZ53" i="38" s="1"/>
  <c r="DF53" i="38" s="1"/>
  <c r="DC12" i="38"/>
  <c r="DF46" i="38"/>
  <c r="CW46" i="38"/>
  <c r="CX46" i="38"/>
  <c r="DA46" i="38"/>
  <c r="CY46" i="38"/>
  <c r="DB46" i="38"/>
  <c r="DD46" i="38"/>
  <c r="CV46" i="38"/>
  <c r="CZ46" i="38"/>
  <c r="DC46" i="38"/>
  <c r="DE46" i="38"/>
  <c r="DM46" i="38"/>
  <c r="DH46" i="38"/>
  <c r="DG46" i="38"/>
  <c r="DL46" i="38"/>
  <c r="DI46" i="38"/>
  <c r="DN46" i="38"/>
  <c r="DJ46" i="38"/>
  <c r="DK46" i="38"/>
  <c r="DP46" i="38"/>
  <c r="DO46" i="38"/>
  <c r="CZ60" i="38"/>
  <c r="DD60" i="38"/>
  <c r="DC60" i="38"/>
  <c r="CW60" i="38"/>
  <c r="CX60" i="38"/>
  <c r="DE60" i="38"/>
  <c r="CV60" i="38"/>
  <c r="DA60" i="38"/>
  <c r="DM60" i="38"/>
  <c r="DB60" i="38"/>
  <c r="DF60" i="38"/>
  <c r="CY60" i="38"/>
  <c r="DI60" i="38"/>
  <c r="DG60" i="38"/>
  <c r="DL60" i="38"/>
  <c r="DH60" i="38"/>
  <c r="DJ60" i="38"/>
  <c r="DK60" i="38"/>
  <c r="DN60" i="38"/>
  <c r="DO60" i="38"/>
  <c r="DP60" i="38"/>
  <c r="CV48" i="38"/>
  <c r="DB48" i="38"/>
  <c r="CY48" i="38"/>
  <c r="CZ48" i="38"/>
  <c r="DC48" i="38"/>
  <c r="CW48" i="38"/>
  <c r="DA48" i="38"/>
  <c r="CX48" i="38"/>
  <c r="DI48" i="38"/>
  <c r="DL48" i="38"/>
  <c r="DD48" i="38"/>
  <c r="DR16" i="38"/>
  <c r="DV16" i="38" s="1"/>
  <c r="DX16" i="38" s="1"/>
  <c r="EB16" i="38" s="1"/>
  <c r="CX17" i="38"/>
  <c r="DD12" i="38"/>
  <c r="CW12" i="38"/>
  <c r="DL39" i="38"/>
  <c r="CW39" i="38"/>
  <c r="DA39" i="38"/>
  <c r="DC39" i="38"/>
  <c r="DB39" i="38"/>
  <c r="CZ39" i="38"/>
  <c r="CY39" i="38"/>
  <c r="CV39" i="38"/>
  <c r="CX39" i="38"/>
  <c r="DI39" i="38"/>
  <c r="DD39" i="38"/>
  <c r="CZ54" i="38"/>
  <c r="DE54" i="38"/>
  <c r="CW54" i="38"/>
  <c r="DC54" i="38"/>
  <c r="DA54" i="38"/>
  <c r="CX54" i="38"/>
  <c r="DD54" i="38"/>
  <c r="DB54" i="38"/>
  <c r="CY54" i="38"/>
  <c r="DM54" i="38"/>
  <c r="CV54" i="38"/>
  <c r="DF54" i="38"/>
  <c r="DG54" i="38"/>
  <c r="DL54" i="38"/>
  <c r="DI54" i="38"/>
  <c r="DJ54" i="38"/>
  <c r="DH54" i="38"/>
  <c r="DN54" i="38"/>
  <c r="DK54" i="38"/>
  <c r="DP54" i="38"/>
  <c r="DO54" i="38"/>
  <c r="CZ35" i="38"/>
  <c r="CW35" i="38"/>
  <c r="DF35" i="38"/>
  <c r="DD35" i="38"/>
  <c r="CY35" i="38"/>
  <c r="DM35" i="38"/>
  <c r="DE35" i="38"/>
  <c r="DG35" i="38"/>
  <c r="DJ35" i="38"/>
  <c r="DA28" i="38"/>
  <c r="CW28" i="38"/>
  <c r="CZ28" i="38"/>
  <c r="DB28" i="38"/>
  <c r="DD28" i="38"/>
  <c r="DF28" i="38"/>
  <c r="CX28" i="38"/>
  <c r="CY28" i="38"/>
  <c r="CV28" i="38"/>
  <c r="DC28" i="38"/>
  <c r="DM28" i="38"/>
  <c r="DL28" i="38"/>
  <c r="DI28" i="38"/>
  <c r="DE28" i="38"/>
  <c r="DG28" i="38"/>
  <c r="DJ28" i="38"/>
  <c r="DH28" i="38"/>
  <c r="DK28" i="38"/>
  <c r="DN28" i="38"/>
  <c r="DO28" i="38"/>
  <c r="DP28" i="38"/>
  <c r="DB27" i="38"/>
  <c r="DA27" i="38"/>
  <c r="CW27" i="38"/>
  <c r="DC27" i="38"/>
  <c r="CX27" i="38"/>
  <c r="DI27" i="38"/>
  <c r="CV27" i="38"/>
  <c r="CY27" i="38"/>
  <c r="CZ27" i="38"/>
  <c r="DL27" i="38"/>
  <c r="DD27" i="38"/>
  <c r="DR14" i="38"/>
  <c r="DV14" i="38" s="1"/>
  <c r="DX14" i="38" s="1"/>
  <c r="EB14" i="38" s="1"/>
  <c r="DD17" i="38"/>
  <c r="DF12" i="38"/>
  <c r="CY12" i="38"/>
  <c r="CR38" i="38" a="1"/>
  <c r="CR38" i="38" s="1"/>
  <c r="CQ38" i="38" a="1"/>
  <c r="CQ38" i="38" s="1"/>
  <c r="CQ12" i="38" a="1"/>
  <c r="CQ12" i="38" s="1"/>
  <c r="CR12" i="38" a="1"/>
  <c r="CR12" i="38" s="1"/>
  <c r="CY17" i="38"/>
  <c r="AY27" i="38" a="1"/>
  <c r="AY27" i="38" s="1"/>
  <c r="AZ27" i="38" s="1"/>
  <c r="CX12" i="38"/>
  <c r="BN19" i="38" a="1"/>
  <c r="BN19" i="38" s="1"/>
  <c r="BO19" i="38" s="1"/>
  <c r="DN19" i="38" s="1"/>
  <c r="BJ19" i="38" a="1"/>
  <c r="BJ19" i="38" s="1"/>
  <c r="BL19" i="38" a="1"/>
  <c r="BL19" i="38" s="1"/>
  <c r="BC19" i="38" a="1"/>
  <c r="BC19" i="38" s="1"/>
  <c r="BG19" i="38" a="1"/>
  <c r="BG19" i="38" s="1"/>
  <c r="BH19" i="38" s="1"/>
  <c r="DH19" i="38"/>
  <c r="BE19" i="38" a="1"/>
  <c r="BE19" i="38" s="1"/>
  <c r="CQ26" i="38" a="1"/>
  <c r="CQ26" i="38" s="1"/>
  <c r="CR26" i="38" a="1"/>
  <c r="CR26" i="38" s="1"/>
  <c r="BI20" i="38"/>
  <c r="DI12" i="38"/>
  <c r="DL12" i="38"/>
  <c r="CZ17" i="38"/>
  <c r="CZ12" i="38"/>
  <c r="DF50" i="38"/>
  <c r="DM50" i="38"/>
  <c r="DA50" i="38"/>
  <c r="CX50" i="38"/>
  <c r="DE50" i="38"/>
  <c r="DC50" i="38"/>
  <c r="DB50" i="38"/>
  <c r="CY50" i="38"/>
  <c r="DD50" i="38"/>
  <c r="CV50" i="38"/>
  <c r="DL50" i="38"/>
  <c r="CZ50" i="38"/>
  <c r="CW50" i="38"/>
  <c r="DG50" i="38"/>
  <c r="DI50" i="38"/>
  <c r="DH50" i="38"/>
  <c r="DJ50" i="38"/>
  <c r="DN50" i="38"/>
  <c r="DK50" i="38"/>
  <c r="DO50" i="38"/>
  <c r="DP50" i="38"/>
  <c r="DE27" i="38"/>
  <c r="CR52" i="38" a="1"/>
  <c r="CR52" i="38" s="1"/>
  <c r="CQ52" i="38" a="1"/>
  <c r="CQ52" i="38" s="1"/>
  <c r="DF17" i="38"/>
  <c r="CV12" i="38"/>
  <c r="CQ47" i="38" a="1"/>
  <c r="CQ47" i="38" s="1"/>
  <c r="CR47" i="38" a="1"/>
  <c r="CR47" i="38" s="1"/>
  <c r="CQ17" i="38" a="1"/>
  <c r="CQ17" i="38" s="1"/>
  <c r="CR17" i="38" a="1"/>
  <c r="CR17" i="38" s="1"/>
  <c r="DB12" i="38"/>
  <c r="DD40" i="38"/>
  <c r="DE40" i="38"/>
  <c r="CV40" i="38"/>
  <c r="CZ40" i="38"/>
  <c r="CX40" i="38"/>
  <c r="DB40" i="38"/>
  <c r="DC40" i="38"/>
  <c r="DF40" i="38"/>
  <c r="CW40" i="38"/>
  <c r="DM40" i="38"/>
  <c r="CY40" i="38"/>
  <c r="DA40" i="38"/>
  <c r="DI40" i="38"/>
  <c r="DL40" i="38"/>
  <c r="DG40" i="38"/>
  <c r="DH40" i="38"/>
  <c r="DJ40" i="38"/>
  <c r="DN40" i="38"/>
  <c r="DK40" i="38"/>
  <c r="DP40" i="38"/>
  <c r="DR40" i="38" s="1"/>
  <c r="DV40" i="38" s="1"/>
  <c r="DX40" i="38" s="1"/>
  <c r="EB40" i="38" s="1"/>
  <c r="DO40" i="38"/>
  <c r="CW53" i="38"/>
  <c r="DB53" i="38"/>
  <c r="DA53" i="38"/>
  <c r="CX53" i="38"/>
  <c r="CZ53" i="38"/>
  <c r="CV53" i="38"/>
  <c r="CY53" i="38"/>
  <c r="DC53" i="38"/>
  <c r="DL53" i="38"/>
  <c r="DI53" i="38"/>
  <c r="DD53" i="38"/>
  <c r="DD49" i="38"/>
  <c r="CX49" i="38"/>
  <c r="DM49" i="38"/>
  <c r="CY49" i="38"/>
  <c r="CZ49" i="38"/>
  <c r="CV49" i="38"/>
  <c r="DE49" i="38"/>
  <c r="DL49" i="38"/>
  <c r="CW49" i="38"/>
  <c r="DB49" i="38"/>
  <c r="DC49" i="38"/>
  <c r="DG49" i="38"/>
  <c r="DA49" i="38"/>
  <c r="DF49" i="38"/>
  <c r="DJ49" i="38"/>
  <c r="DH49" i="38"/>
  <c r="DI49" i="38"/>
  <c r="DN49" i="38"/>
  <c r="DK49" i="38"/>
  <c r="DP49" i="38"/>
  <c r="DO49" i="38"/>
  <c r="DR61" i="38"/>
  <c r="DV63" i="38"/>
  <c r="DV61" i="38" s="1"/>
  <c r="DX62" i="38"/>
  <c r="EB62" i="38" s="1"/>
  <c r="EB1001" i="71"/>
  <c r="DX1001" i="71"/>
  <c r="BJ999" i="71" a="1"/>
  <c r="BJ999" i="71" s="1"/>
  <c r="BN999" i="71" a="1"/>
  <c r="BN999" i="71" s="1"/>
  <c r="BO999" i="71" s="1"/>
  <c r="DN999" i="71" s="1"/>
  <c r="BE999" i="71" a="1"/>
  <c r="BE999" i="71" s="1"/>
  <c r="BL999" i="71" a="1"/>
  <c r="BL999" i="71" s="1"/>
  <c r="BC999" i="71" a="1"/>
  <c r="BC999" i="71" s="1"/>
  <c r="BG999" i="71" a="1"/>
  <c r="BG999" i="71" s="1"/>
  <c r="BH999" i="71" s="1"/>
  <c r="DK999" i="71" s="1"/>
  <c r="DX1002" i="71"/>
  <c r="BF999" i="71"/>
  <c r="DJ999" i="71" s="1"/>
  <c r="DG999" i="71"/>
  <c r="DH999" i="71"/>
  <c r="DG1000" i="71"/>
  <c r="BF1000" i="71"/>
  <c r="DJ1000" i="71" s="1"/>
  <c r="BB1000" i="71"/>
  <c r="D39" i="79"/>
  <c r="E28" i="79" s="1"/>
  <c r="CE30" i="85"/>
  <c r="AY30" i="85"/>
  <c r="AZ30" i="85" s="1"/>
  <c r="AG23" i="38" l="1" a="1"/>
  <c r="AG23" i="38" s="1"/>
  <c r="AL23" i="38" s="1"/>
  <c r="DA23" i="38" s="1"/>
  <c r="DA17" i="38" s="1"/>
  <c r="CV23" i="38"/>
  <c r="CV17" i="38" s="1"/>
  <c r="I56" i="38" a="1"/>
  <c r="I56" i="38" s="1"/>
  <c r="J56" i="38" s="1"/>
  <c r="CV56" i="38" s="1"/>
  <c r="CX56" i="38"/>
  <c r="CX58" i="38"/>
  <c r="I58" i="38" a="1"/>
  <c r="I58" i="38" s="1"/>
  <c r="J58" i="38" s="1"/>
  <c r="CV58" i="38" s="1"/>
  <c r="I57" i="38" a="1"/>
  <c r="I57" i="38" s="1"/>
  <c r="J57" i="38" s="1"/>
  <c r="DR55" i="38"/>
  <c r="DV55" i="38" s="1"/>
  <c r="CV47" i="38"/>
  <c r="CX43" i="38"/>
  <c r="CX38" i="38" s="1"/>
  <c r="I44" i="38" a="1"/>
  <c r="I44" i="38" s="1"/>
  <c r="J44" i="38" s="1"/>
  <c r="CV44" i="38" s="1"/>
  <c r="I43" i="38" a="1"/>
  <c r="I43" i="38" s="1"/>
  <c r="J43" i="38" s="1"/>
  <c r="CV43" i="38" s="1"/>
  <c r="I42" i="38" a="1"/>
  <c r="I42" i="38" s="1"/>
  <c r="J42" i="38" s="1"/>
  <c r="DX45" i="38"/>
  <c r="EB45" i="38" s="1"/>
  <c r="DR41" i="38"/>
  <c r="DV41" i="38" s="1"/>
  <c r="AP32" i="38"/>
  <c r="DC32" i="38" s="1"/>
  <c r="DA32" i="38"/>
  <c r="AG33" i="38" a="1"/>
  <c r="AG33" i="38" s="1"/>
  <c r="AL33" i="38" s="1"/>
  <c r="DA33" i="38" s="1"/>
  <c r="AG30" i="38" a="1"/>
  <c r="AG30" i="38" s="1"/>
  <c r="AL30" i="38" s="1"/>
  <c r="DA30" i="38" s="1"/>
  <c r="CX30" i="38"/>
  <c r="CX26" i="38" s="1"/>
  <c r="AG34" i="38" a="1"/>
  <c r="AG34" i="38" s="1"/>
  <c r="AL34" i="38" s="1"/>
  <c r="DA34" i="38" s="1"/>
  <c r="AG31" i="38" a="1"/>
  <c r="AG31" i="38" s="1"/>
  <c r="AL31" i="38" s="1"/>
  <c r="DA31" i="38" s="1"/>
  <c r="AG35" i="38" a="1"/>
  <c r="AG35" i="38" s="1"/>
  <c r="AL35" i="38" s="1"/>
  <c r="DA35" i="38" s="1"/>
  <c r="DX36" i="38"/>
  <c r="EB36" i="38" s="1"/>
  <c r="DR29" i="38"/>
  <c r="DV29" i="38" s="1"/>
  <c r="CW52" i="38"/>
  <c r="DD52" i="38"/>
  <c r="DF47" i="38"/>
  <c r="BA39" i="38"/>
  <c r="DG39" i="38" s="1"/>
  <c r="DG38" i="38" s="1"/>
  <c r="BS13" i="38"/>
  <c r="BS12" i="38" s="1"/>
  <c r="DE38" i="38"/>
  <c r="DP21" i="38"/>
  <c r="DE52" i="38"/>
  <c r="DE47" i="38"/>
  <c r="DP13" i="38"/>
  <c r="DP12" i="38" s="1"/>
  <c r="CY52" i="38"/>
  <c r="DF38" i="38"/>
  <c r="CZ26" i="38"/>
  <c r="BS21" i="38"/>
  <c r="BT21" i="38" s="1"/>
  <c r="BU21" i="38" s="1"/>
  <c r="BA48" i="38"/>
  <c r="CY47" i="38"/>
  <c r="CY38" i="38"/>
  <c r="DR60" i="38"/>
  <c r="DV60" i="38" s="1"/>
  <c r="DX60" i="38" s="1"/>
  <c r="EB60" i="38" s="1"/>
  <c r="DE26" i="38"/>
  <c r="BS18" i="38"/>
  <c r="CY26" i="38"/>
  <c r="DD38" i="38"/>
  <c r="DR50" i="38"/>
  <c r="DV50" i="38" s="1"/>
  <c r="DX50" i="38" s="1"/>
  <c r="EB50" i="38" s="1"/>
  <c r="CV26" i="38"/>
  <c r="DK19" i="38"/>
  <c r="DR49" i="38"/>
  <c r="DV49" i="38" s="1"/>
  <c r="DX49" i="38" s="1"/>
  <c r="EB49" i="38" s="1"/>
  <c r="BI19" i="38"/>
  <c r="DR28" i="38"/>
  <c r="DV28" i="38" s="1"/>
  <c r="DX28" i="38" s="1"/>
  <c r="EB28" i="38" s="1"/>
  <c r="CW38" i="38"/>
  <c r="CW47" i="38"/>
  <c r="DR59" i="38"/>
  <c r="DV59" i="38" s="1"/>
  <c r="DX59" i="38" s="1"/>
  <c r="EB59" i="38" s="1"/>
  <c r="CZ52" i="38"/>
  <c r="DF27" i="38"/>
  <c r="DF26" i="38" s="1"/>
  <c r="BA27" i="38"/>
  <c r="CZ47" i="38"/>
  <c r="BA53" i="38"/>
  <c r="DR54" i="38"/>
  <c r="DV54" i="38" s="1"/>
  <c r="DX54" i="38" s="1"/>
  <c r="EB54" i="38" s="1"/>
  <c r="DD47" i="38"/>
  <c r="DF52" i="38"/>
  <c r="DP18" i="38"/>
  <c r="BP20" i="38" a="1"/>
  <c r="BP20" i="38" s="1"/>
  <c r="BR20" i="38" s="1"/>
  <c r="BS20" i="38" s="1"/>
  <c r="BT20" i="38" s="1"/>
  <c r="DD26" i="38"/>
  <c r="CW26" i="38"/>
  <c r="CZ38" i="38"/>
  <c r="DR46" i="38"/>
  <c r="DV46" i="38" s="1"/>
  <c r="DX46" i="38" s="1"/>
  <c r="EB46" i="38" s="1"/>
  <c r="DR37" i="38"/>
  <c r="DV37" i="38" s="1"/>
  <c r="DX63" i="38"/>
  <c r="DX61" i="38" s="1"/>
  <c r="BC1000" i="71" a="1"/>
  <c r="BC1000" i="71" s="1"/>
  <c r="BN1000" i="71" a="1"/>
  <c r="BN1000" i="71" s="1"/>
  <c r="BO1000" i="71" s="1"/>
  <c r="DN1000" i="71" s="1"/>
  <c r="BE1000" i="71" a="1"/>
  <c r="BE1000" i="71" s="1"/>
  <c r="BL1000" i="71" a="1"/>
  <c r="BL1000" i="71" s="1"/>
  <c r="BJ1000" i="71" a="1"/>
  <c r="BJ1000" i="71" s="1"/>
  <c r="BG1000" i="71" a="1"/>
  <c r="BG1000" i="71" s="1"/>
  <c r="BH1000" i="71" s="1"/>
  <c r="DK1000" i="71" s="1"/>
  <c r="BI999" i="71"/>
  <c r="BP999" i="71" s="1" a="1"/>
  <c r="BP999" i="71" s="1"/>
  <c r="BR999" i="71" s="1"/>
  <c r="DO999" i="71" s="1"/>
  <c r="DH1000" i="71"/>
  <c r="AN23" i="38" l="1" a="1"/>
  <c r="AN23" i="38" s="1"/>
  <c r="AO23" i="38" s="1"/>
  <c r="DB23" i="38" s="1"/>
  <c r="DB17" i="38" s="1"/>
  <c r="CX52" i="38"/>
  <c r="AG58" i="38" a="1"/>
  <c r="AG58" i="38" s="1"/>
  <c r="AL58" i="38" s="1"/>
  <c r="DA58" i="38" s="1"/>
  <c r="AG56" i="38" a="1"/>
  <c r="AG56" i="38" s="1"/>
  <c r="AL56" i="38" s="1"/>
  <c r="DA56" i="38" s="1"/>
  <c r="CX47" i="38"/>
  <c r="AG57" i="38" a="1"/>
  <c r="AG57" i="38" s="1"/>
  <c r="AL57" i="38" s="1"/>
  <c r="DA57" i="38" s="1"/>
  <c r="CV57" i="38"/>
  <c r="CV52" i="38" s="1"/>
  <c r="DX55" i="38"/>
  <c r="EB55" i="38" s="1"/>
  <c r="DA47" i="38"/>
  <c r="AG44" i="38" a="1"/>
  <c r="AG44" i="38" s="1"/>
  <c r="AL44" i="38" s="1"/>
  <c r="DA44" i="38" s="1"/>
  <c r="AG43" i="38" a="1"/>
  <c r="AG43" i="38" s="1"/>
  <c r="AL43" i="38" s="1"/>
  <c r="DA43" i="38" s="1"/>
  <c r="AG42" i="38" a="1"/>
  <c r="AG42" i="38" s="1"/>
  <c r="AL42" i="38" s="1"/>
  <c r="DA42" i="38" s="1"/>
  <c r="CV42" i="38"/>
  <c r="CV38" i="38" s="1"/>
  <c r="DX41" i="38"/>
  <c r="EB41" i="38" s="1"/>
  <c r="BB32" i="38"/>
  <c r="BN32" i="38" s="1" a="1"/>
  <c r="BN32" i="38" s="1"/>
  <c r="BO32" i="38" s="1"/>
  <c r="DN32" i="38" s="1"/>
  <c r="AN35" i="38" a="1"/>
  <c r="AN35" i="38" s="1"/>
  <c r="AO35" i="38" s="1"/>
  <c r="DB35" i="38" s="1"/>
  <c r="AN34" i="38" a="1"/>
  <c r="AN34" i="38" s="1"/>
  <c r="AO34" i="38" s="1"/>
  <c r="DB34" i="38" s="1"/>
  <c r="AN33" i="38" a="1"/>
  <c r="AN33" i="38" s="1"/>
  <c r="AO33" i="38" s="1"/>
  <c r="DA26" i="38"/>
  <c r="AN31" i="38" a="1"/>
  <c r="AN31" i="38" s="1"/>
  <c r="AO31" i="38" s="1"/>
  <c r="DB31" i="38" s="1"/>
  <c r="AN30" i="38" a="1"/>
  <c r="AN30" i="38" s="1"/>
  <c r="AO30" i="38" s="1"/>
  <c r="DB30" i="38" s="1"/>
  <c r="DX29" i="38"/>
  <c r="EB29" i="38" s="1"/>
  <c r="BT13" i="38"/>
  <c r="BU13" i="38" s="1"/>
  <c r="BV12" i="38" s="1"/>
  <c r="BW12" i="38" s="1"/>
  <c r="BB39" i="38"/>
  <c r="BE39" i="38" s="1" a="1"/>
  <c r="BE39" i="38" s="1"/>
  <c r="BF39" i="38" s="1"/>
  <c r="DJ39" i="38" s="1"/>
  <c r="DJ38" i="38" s="1"/>
  <c r="CC21" i="38" a="1"/>
  <c r="CC21" i="38" s="1"/>
  <c r="DW21" i="38" s="1"/>
  <c r="CB21" i="38" a="1"/>
  <c r="CB21" i="38" s="1"/>
  <c r="DU21" i="38" s="1"/>
  <c r="BB48" i="38"/>
  <c r="DG48" i="38"/>
  <c r="DG47" i="38" s="1"/>
  <c r="DX37" i="38"/>
  <c r="EB37" i="38" s="1"/>
  <c r="BU20" i="38"/>
  <c r="CB20" i="38" a="1"/>
  <c r="CB20" i="38" s="1"/>
  <c r="CC20" i="38" a="1"/>
  <c r="CC20" i="38" s="1"/>
  <c r="DO20" i="38"/>
  <c r="DP20" i="38"/>
  <c r="BT18" i="38"/>
  <c r="DG27" i="38"/>
  <c r="DG26" i="38" s="1"/>
  <c r="BB27" i="38"/>
  <c r="DG53" i="38"/>
  <c r="DG52" i="38" s="1"/>
  <c r="BB53" i="38"/>
  <c r="BP19" i="38" a="1"/>
  <c r="BP19" i="38" s="1"/>
  <c r="BR19" i="38" s="1"/>
  <c r="BS19" i="38" s="1"/>
  <c r="BT19" i="38" s="1"/>
  <c r="EB63" i="38"/>
  <c r="EB61" i="38" s="1"/>
  <c r="DP999" i="71"/>
  <c r="DV999" i="71" s="1"/>
  <c r="EB999" i="71" s="1"/>
  <c r="BS999" i="71"/>
  <c r="BT999" i="71" s="1"/>
  <c r="BU999" i="71" s="1"/>
  <c r="D60" i="45" a="1"/>
  <c r="D60" i="45" s="1"/>
  <c r="D60" i="79" a="1"/>
  <c r="D60" i="79" s="1"/>
  <c r="BI1000" i="71"/>
  <c r="DA52" i="38" l="1"/>
  <c r="AP23" i="38"/>
  <c r="AN58" i="38" a="1"/>
  <c r="AN58" i="38" s="1"/>
  <c r="AO58" i="38" s="1"/>
  <c r="AN56" i="38" a="1"/>
  <c r="AN56" i="38" s="1"/>
  <c r="AO56" i="38" s="1"/>
  <c r="AN57" i="38" a="1"/>
  <c r="AN57" i="38" s="1"/>
  <c r="AO57" i="38" s="1"/>
  <c r="AN44" i="38" a="1"/>
  <c r="AN44" i="38" s="1"/>
  <c r="AO44" i="38" s="1"/>
  <c r="DB44" i="38" s="1"/>
  <c r="DA38" i="38"/>
  <c r="AN43" i="38" a="1"/>
  <c r="AN43" i="38" s="1"/>
  <c r="AO43" i="38" s="1"/>
  <c r="BE32" i="38" a="1"/>
  <c r="BE32" i="38" s="1"/>
  <c r="AN42" i="38" a="1"/>
  <c r="AN42" i="38" s="1"/>
  <c r="AO42" i="38" s="1"/>
  <c r="DB42" i="38" s="1"/>
  <c r="BC32" i="38" a="1"/>
  <c r="BC32" i="38" s="1"/>
  <c r="BD32" i="38" s="1"/>
  <c r="DI32" i="38" s="1"/>
  <c r="DH32" i="38"/>
  <c r="BG32" i="38" a="1"/>
  <c r="BG32" i="38" s="1"/>
  <c r="BH32" i="38" s="1"/>
  <c r="DK32" i="38" s="1"/>
  <c r="BL32" i="38" a="1"/>
  <c r="BL32" i="38" s="1"/>
  <c r="BJ32" i="38" a="1"/>
  <c r="BJ32" i="38" s="1"/>
  <c r="BK32" i="38" s="1"/>
  <c r="DL32" i="38" s="1"/>
  <c r="AP35" i="38"/>
  <c r="BB35" i="38" s="1"/>
  <c r="AP34" i="38"/>
  <c r="BB34" i="38" s="1"/>
  <c r="DB33" i="38"/>
  <c r="DB26" i="38" s="1"/>
  <c r="AP33" i="38"/>
  <c r="BB33" i="38" s="1"/>
  <c r="BL33" i="38" s="1" a="1"/>
  <c r="BL33" i="38" s="1"/>
  <c r="AP31" i="38"/>
  <c r="BB31" i="38" s="1"/>
  <c r="AP30" i="38"/>
  <c r="BB30" i="38" s="1"/>
  <c r="BT12" i="38"/>
  <c r="CB13" i="38" a="1"/>
  <c r="CB13" i="38" s="1"/>
  <c r="CN13" i="38" s="1" a="1"/>
  <c r="CN13" i="38" s="1"/>
  <c r="CC13" i="38" a="1"/>
  <c r="CC13" i="38" s="1"/>
  <c r="DY13" i="38" s="1" a="1"/>
  <c r="DY13" i="38" s="1"/>
  <c r="DY12" i="38" s="1"/>
  <c r="BJ39" i="38" a="1"/>
  <c r="BJ39" i="38" s="1"/>
  <c r="CP21" i="38" a="1"/>
  <c r="CP21" i="38" s="1"/>
  <c r="DY21" i="38" a="1"/>
  <c r="DY21" i="38" s="1"/>
  <c r="EA21" i="38"/>
  <c r="DZ21" i="38" a="1"/>
  <c r="DZ21" i="38" s="1"/>
  <c r="BL39" i="38" a="1"/>
  <c r="BL39" i="38" s="1"/>
  <c r="BM39" i="38" s="1"/>
  <c r="DM39" i="38" s="1"/>
  <c r="DM38" i="38" s="1"/>
  <c r="DQ21" i="38"/>
  <c r="DR21" i="38" s="1"/>
  <c r="CN21" i="38" a="1"/>
  <c r="CN21" i="38" s="1"/>
  <c r="DS21" i="38" a="1"/>
  <c r="DS21" i="38" s="1"/>
  <c r="DT21" i="38" a="1"/>
  <c r="DT21" i="38" s="1"/>
  <c r="BN39" i="38" a="1"/>
  <c r="BN39" i="38" s="1"/>
  <c r="BO39" i="38" s="1"/>
  <c r="DN39" i="38" s="1"/>
  <c r="DH39" i="38"/>
  <c r="BC39" i="38" a="1"/>
  <c r="BC39" i="38" s="1"/>
  <c r="BG39" i="38" a="1"/>
  <c r="BG39" i="38" s="1"/>
  <c r="BH39" i="38" s="1"/>
  <c r="DK39" i="38" s="1"/>
  <c r="BG48" i="38" a="1"/>
  <c r="BG48" i="38" s="1"/>
  <c r="BH48" i="38" s="1"/>
  <c r="DK48" i="38" s="1"/>
  <c r="DH48" i="38"/>
  <c r="BE48" i="38" a="1"/>
  <c r="BE48" i="38" s="1"/>
  <c r="BF48" i="38" s="1"/>
  <c r="BC48" i="38" a="1"/>
  <c r="BC48" i="38" s="1"/>
  <c r="BN48" i="38" a="1"/>
  <c r="BN48" i="38" s="1"/>
  <c r="BO48" i="38" s="1"/>
  <c r="DN48" i="38" s="1"/>
  <c r="BJ48" i="38" a="1"/>
  <c r="BJ48" i="38" s="1"/>
  <c r="BL48" i="38" a="1"/>
  <c r="BL48" i="38" s="1"/>
  <c r="BM48" i="38" s="1"/>
  <c r="DM48" i="38" s="1"/>
  <c r="DM47" i="38" s="1"/>
  <c r="DH53" i="38"/>
  <c r="BC53" i="38" a="1"/>
  <c r="BC53" i="38" s="1"/>
  <c r="BJ53" i="38" a="1"/>
  <c r="BJ53" i="38" s="1"/>
  <c r="BN53" i="38" a="1"/>
  <c r="BN53" i="38" s="1"/>
  <c r="BO53" i="38" s="1"/>
  <c r="DN53" i="38" s="1"/>
  <c r="BL53" i="38" a="1"/>
  <c r="BL53" i="38" s="1"/>
  <c r="BM53" i="38" s="1"/>
  <c r="DM53" i="38" s="1"/>
  <c r="DM52" i="38" s="1"/>
  <c r="BE53" i="38" a="1"/>
  <c r="BE53" i="38" s="1"/>
  <c r="BF53" i="38" s="1"/>
  <c r="BG53" i="38" a="1"/>
  <c r="BG53" i="38" s="1"/>
  <c r="BH53" i="38" s="1"/>
  <c r="DK53" i="38" s="1"/>
  <c r="DH27" i="38"/>
  <c r="BN27" i="38" a="1"/>
  <c r="BN27" i="38" s="1"/>
  <c r="BO27" i="38" s="1"/>
  <c r="DN27" i="38" s="1"/>
  <c r="BC27" i="38" a="1"/>
  <c r="BC27" i="38" s="1"/>
  <c r="BL27" i="38" a="1"/>
  <c r="BL27" i="38" s="1"/>
  <c r="BM27" i="38" s="1"/>
  <c r="DM27" i="38" s="1"/>
  <c r="DM26" i="38" s="1"/>
  <c r="BG27" i="38" a="1"/>
  <c r="BG27" i="38" s="1"/>
  <c r="BH27" i="38" s="1"/>
  <c r="DK27" i="38" s="1"/>
  <c r="BJ27" i="38" a="1"/>
  <c r="BJ27" i="38" s="1"/>
  <c r="BE27" i="38" a="1"/>
  <c r="BE27" i="38" s="1"/>
  <c r="BF27" i="38" s="1"/>
  <c r="DJ27" i="38" s="1"/>
  <c r="DJ26" i="38" s="1"/>
  <c r="EA20" i="38"/>
  <c r="DZ20" i="38" a="1"/>
  <c r="DZ20" i="38" s="1"/>
  <c r="DW20" i="38"/>
  <c r="DY20" i="38" a="1"/>
  <c r="DY20" i="38" s="1"/>
  <c r="CP20" i="38" a="1"/>
  <c r="CP20" i="38" s="1"/>
  <c r="DQ20" i="38"/>
  <c r="DT20" i="38" a="1"/>
  <c r="DT20" i="38" s="1"/>
  <c r="DU20" i="38"/>
  <c r="CN20" i="38" a="1"/>
  <c r="CN20" i="38" s="1"/>
  <c r="DS20" i="38" a="1"/>
  <c r="DS20" i="38" s="1"/>
  <c r="CC19" i="38" a="1"/>
  <c r="CC19" i="38" s="1"/>
  <c r="BU19" i="38"/>
  <c r="CB19" i="38" a="1"/>
  <c r="CB19" i="38" s="1"/>
  <c r="DO19" i="38"/>
  <c r="DP19" i="38"/>
  <c r="CC18" i="38" a="1"/>
  <c r="CC18" i="38" s="1"/>
  <c r="BU18" i="38"/>
  <c r="CB18" i="38" a="1"/>
  <c r="CB18" i="38" s="1"/>
  <c r="CC999" i="71" a="1"/>
  <c r="CC999" i="71" s="1"/>
  <c r="EA999" i="71" s="1"/>
  <c r="CB999" i="71" a="1"/>
  <c r="CB999" i="71" s="1"/>
  <c r="DS999" i="71" s="1" a="1"/>
  <c r="DS999" i="71" s="1"/>
  <c r="D59" i="79" a="1"/>
  <c r="D59" i="79" s="1"/>
  <c r="BP1000" i="71" a="1"/>
  <c r="BP1000" i="71" s="1"/>
  <c r="BR1000" i="71" s="1"/>
  <c r="BB23" i="38" l="1"/>
  <c r="DC23" i="38"/>
  <c r="DC17" i="38" s="1"/>
  <c r="DB58" i="38"/>
  <c r="AP58" i="38"/>
  <c r="DB56" i="38"/>
  <c r="AP56" i="38"/>
  <c r="DB57" i="38"/>
  <c r="AP57" i="38"/>
  <c r="DB47" i="38"/>
  <c r="AP44" i="38"/>
  <c r="DB43" i="38"/>
  <c r="DB38" i="38" s="1"/>
  <c r="AP43" i="38"/>
  <c r="DC34" i="38"/>
  <c r="AP42" i="38"/>
  <c r="BB42" i="38" s="1"/>
  <c r="DC35" i="38"/>
  <c r="BI32" i="38"/>
  <c r="BP32" i="38" s="1" a="1"/>
  <c r="BP32" i="38" s="1"/>
  <c r="BR32" i="38" s="1"/>
  <c r="DO32" i="38" s="1"/>
  <c r="BC33" i="38" a="1"/>
  <c r="BC33" i="38" s="1"/>
  <c r="BD33" i="38" s="1"/>
  <c r="DI33" i="38" s="1"/>
  <c r="DC33" i="38"/>
  <c r="BG33" i="38" a="1"/>
  <c r="BG33" i="38" s="1"/>
  <c r="BH33" i="38" s="1"/>
  <c r="DK33" i="38" s="1"/>
  <c r="DH33" i="38"/>
  <c r="BE33" i="38" a="1"/>
  <c r="BE33" i="38" s="1"/>
  <c r="BN33" i="38" a="1"/>
  <c r="BN33" i="38" s="1"/>
  <c r="BO33" i="38" s="1"/>
  <c r="DN33" i="38" s="1"/>
  <c r="BJ33" i="38" a="1"/>
  <c r="BJ33" i="38" s="1"/>
  <c r="BK33" i="38" s="1"/>
  <c r="DL33" i="38" s="1"/>
  <c r="DC30" i="38"/>
  <c r="DZ13" i="38" a="1"/>
  <c r="DZ13" i="38" s="1"/>
  <c r="DZ12" i="38" s="1"/>
  <c r="DC31" i="38"/>
  <c r="DU13" i="38"/>
  <c r="DU12" i="38" s="1"/>
  <c r="BC34" i="38" a="1"/>
  <c r="BC34" i="38" s="1"/>
  <c r="BD34" i="38" s="1"/>
  <c r="DI34" i="38" s="1"/>
  <c r="BG34" i="38" a="1"/>
  <c r="BG34" i="38" s="1"/>
  <c r="BH34" i="38" s="1"/>
  <c r="BJ34" i="38" a="1"/>
  <c r="BJ34" i="38" s="1"/>
  <c r="BK34" i="38" s="1"/>
  <c r="DL34" i="38" s="1"/>
  <c r="BL34" i="38" a="1"/>
  <c r="BL34" i="38" s="1"/>
  <c r="BE34" i="38" a="1"/>
  <c r="BE34" i="38" s="1"/>
  <c r="BN34" i="38" a="1"/>
  <c r="BN34" i="38" s="1"/>
  <c r="BO34" i="38" s="1"/>
  <c r="DN34" i="38" s="1"/>
  <c r="DH34" i="38"/>
  <c r="BC35" i="38" a="1"/>
  <c r="BC35" i="38" s="1"/>
  <c r="BD35" i="38" s="1"/>
  <c r="DI35" i="38" s="1"/>
  <c r="BE35" i="38" a="1"/>
  <c r="BE35" i="38" s="1"/>
  <c r="BL35" i="38" a="1"/>
  <c r="BL35" i="38" s="1"/>
  <c r="BN35" i="38" a="1"/>
  <c r="BN35" i="38" s="1"/>
  <c r="BO35" i="38" s="1"/>
  <c r="DN35" i="38" s="1"/>
  <c r="BJ35" i="38" a="1"/>
  <c r="BJ35" i="38" s="1"/>
  <c r="BK35" i="38" s="1"/>
  <c r="DL35" i="38" s="1"/>
  <c r="BG35" i="38" a="1"/>
  <c r="BG35" i="38" s="1"/>
  <c r="BH35" i="38" s="1"/>
  <c r="DK35" i="38" s="1"/>
  <c r="DH35" i="38"/>
  <c r="BL30" i="38" a="1"/>
  <c r="BL30" i="38" s="1"/>
  <c r="BE30" i="38" a="1"/>
  <c r="BE30" i="38" s="1"/>
  <c r="BJ30" i="38" a="1"/>
  <c r="BJ30" i="38" s="1"/>
  <c r="BK30" i="38" s="1"/>
  <c r="DL30" i="38" s="1"/>
  <c r="BG30" i="38" a="1"/>
  <c r="BG30" i="38" s="1"/>
  <c r="BH30" i="38" s="1"/>
  <c r="BN30" i="38" a="1"/>
  <c r="BN30" i="38" s="1"/>
  <c r="BO30" i="38" s="1"/>
  <c r="DN30" i="38" s="1"/>
  <c r="BC30" i="38" a="1"/>
  <c r="BC30" i="38" s="1"/>
  <c r="BD30" i="38" s="1"/>
  <c r="DI30" i="38" s="1"/>
  <c r="DH30" i="38"/>
  <c r="BE31" i="38" a="1"/>
  <c r="BE31" i="38" s="1"/>
  <c r="BJ31" i="38" a="1"/>
  <c r="BJ31" i="38" s="1"/>
  <c r="BK31" i="38" s="1"/>
  <c r="DL31" i="38" s="1"/>
  <c r="BL31" i="38" a="1"/>
  <c r="BL31" i="38" s="1"/>
  <c r="BN31" i="38" a="1"/>
  <c r="BN31" i="38" s="1"/>
  <c r="BO31" i="38" s="1"/>
  <c r="DN31" i="38" s="1"/>
  <c r="BG31" i="38" a="1"/>
  <c r="BG31" i="38" s="1"/>
  <c r="BH31" i="38" s="1"/>
  <c r="DK31" i="38" s="1"/>
  <c r="BC31" i="38" a="1"/>
  <c r="BC31" i="38" s="1"/>
  <c r="BD31" i="38" s="1"/>
  <c r="DI31" i="38" s="1"/>
  <c r="DH31" i="38"/>
  <c r="DQ13" i="38"/>
  <c r="DR13" i="38" s="1"/>
  <c r="DR12" i="38" s="1"/>
  <c r="DT13" i="38" a="1"/>
  <c r="DT13" i="38" s="1"/>
  <c r="DT12" i="38" s="1"/>
  <c r="DS13" i="38" a="1"/>
  <c r="DS13" i="38" s="1"/>
  <c r="DS12" i="38" s="1"/>
  <c r="CP13" i="38" a="1"/>
  <c r="CP13" i="38" s="1"/>
  <c r="DW13" i="38"/>
  <c r="DW12" i="38" s="1"/>
  <c r="EA13" i="38"/>
  <c r="EA12" i="38" s="1"/>
  <c r="DV21" i="38"/>
  <c r="DX21" i="38" s="1"/>
  <c r="EB21" i="38" s="1"/>
  <c r="BI39" i="38"/>
  <c r="BP39" i="38" s="1" a="1"/>
  <c r="BP39" i="38" s="1"/>
  <c r="BR39" i="38" s="1"/>
  <c r="DO39" i="38" s="1"/>
  <c r="BI27" i="38"/>
  <c r="BP27" i="38" s="1" a="1"/>
  <c r="BP27" i="38" s="1"/>
  <c r="BR27" i="38" s="1"/>
  <c r="BS27" i="38" s="1"/>
  <c r="DJ48" i="38"/>
  <c r="DJ47" i="38" s="1"/>
  <c r="BI48" i="38"/>
  <c r="DW19" i="38"/>
  <c r="DY19" i="38" a="1"/>
  <c r="DY19" i="38" s="1"/>
  <c r="DZ19" i="38" a="1"/>
  <c r="DZ19" i="38" s="1"/>
  <c r="CP19" i="38" a="1"/>
  <c r="CP19" i="38" s="1"/>
  <c r="EA19" i="38"/>
  <c r="DR20" i="38"/>
  <c r="DV20" i="38" s="1"/>
  <c r="DW18" i="38"/>
  <c r="DY18" i="38" a="1"/>
  <c r="DY18" i="38" s="1"/>
  <c r="DZ18" i="38" a="1"/>
  <c r="DZ18" i="38" s="1"/>
  <c r="EA18" i="38"/>
  <c r="CP18" i="38" a="1"/>
  <c r="CP18" i="38" s="1"/>
  <c r="CN18" i="38" a="1"/>
  <c r="CN18" i="38" s="1"/>
  <c r="DQ18" i="38"/>
  <c r="DS18" i="38" a="1"/>
  <c r="DS18" i="38" s="1"/>
  <c r="DT18" i="38" a="1"/>
  <c r="DT18" i="38" s="1"/>
  <c r="DU18" i="38"/>
  <c r="DT19" i="38" a="1"/>
  <c r="DT19" i="38" s="1"/>
  <c r="DU19" i="38"/>
  <c r="CN19" i="38" a="1"/>
  <c r="CN19" i="38" s="1"/>
  <c r="DQ19" i="38"/>
  <c r="DR19" i="38" s="1"/>
  <c r="DS19" i="38" a="1"/>
  <c r="DS19" i="38" s="1"/>
  <c r="DJ53" i="38"/>
  <c r="DJ52" i="38" s="1"/>
  <c r="BI53" i="38"/>
  <c r="DO1000" i="71"/>
  <c r="DP1000" i="71"/>
  <c r="DV1000" i="71" s="1"/>
  <c r="EB1000" i="71" s="1"/>
  <c r="DZ999" i="71" a="1"/>
  <c r="DZ999" i="71" s="1"/>
  <c r="CP999" i="71" a="1"/>
  <c r="CP999" i="71" s="1"/>
  <c r="DX999" i="71" s="1"/>
  <c r="DY999" i="71" a="1"/>
  <c r="DY999" i="71" s="1"/>
  <c r="DW999" i="71"/>
  <c r="DT999" i="71" a="1"/>
  <c r="DT999" i="71" s="1"/>
  <c r="DQ999" i="71"/>
  <c r="CN999" i="71" a="1"/>
  <c r="CN999" i="71" s="1"/>
  <c r="DR999" i="71" s="1"/>
  <c r="DU999" i="71"/>
  <c r="BS1000" i="71"/>
  <c r="BT1000" i="71" s="1"/>
  <c r="BU1000" i="71" s="1"/>
  <c r="BG23" i="38" l="1" a="1"/>
  <c r="BG23" i="38" s="1"/>
  <c r="BH23" i="38" s="1"/>
  <c r="DK23" i="38" s="1"/>
  <c r="DK17" i="38" s="1"/>
  <c r="BC23" i="38" a="1"/>
  <c r="BC23" i="38" s="1"/>
  <c r="BD23" i="38" s="1"/>
  <c r="DI23" i="38" s="1"/>
  <c r="DI17" i="38" s="1"/>
  <c r="BE23" i="38" a="1"/>
  <c r="BE23" i="38" s="1"/>
  <c r="BN23" i="38" a="1"/>
  <c r="BN23" i="38" s="1"/>
  <c r="BO23" i="38" s="1"/>
  <c r="DN23" i="38" s="1"/>
  <c r="DN17" i="38" s="1"/>
  <c r="BJ23" i="38" a="1"/>
  <c r="BJ23" i="38" s="1"/>
  <c r="BK23" i="38" s="1"/>
  <c r="DL23" i="38" s="1"/>
  <c r="DL17" i="38" s="1"/>
  <c r="BL23" i="38" a="1"/>
  <c r="BL23" i="38" s="1"/>
  <c r="DH23" i="38"/>
  <c r="DH17" i="38" s="1"/>
  <c r="DB52" i="38"/>
  <c r="BB58" i="38"/>
  <c r="DC58" i="38"/>
  <c r="BB56" i="38"/>
  <c r="DC56" i="38"/>
  <c r="BB57" i="38"/>
  <c r="DC57" i="38"/>
  <c r="DC47" i="38"/>
  <c r="BB44" i="38"/>
  <c r="DC44" i="38"/>
  <c r="BS32" i="38"/>
  <c r="BT32" i="38" s="1"/>
  <c r="CB32" i="38" s="1" a="1"/>
  <c r="CB32" i="38" s="1"/>
  <c r="BB43" i="38"/>
  <c r="DC43" i="38"/>
  <c r="DP32" i="38"/>
  <c r="DC42" i="38"/>
  <c r="DC26" i="38"/>
  <c r="BJ42" i="38" a="1"/>
  <c r="BJ42" i="38" s="1"/>
  <c r="BK42" i="38" s="1"/>
  <c r="DL42" i="38" s="1"/>
  <c r="BN42" i="38" a="1"/>
  <c r="BN42" i="38" s="1"/>
  <c r="BO42" i="38" s="1"/>
  <c r="DN42" i="38" s="1"/>
  <c r="BC42" i="38" a="1"/>
  <c r="BC42" i="38" s="1"/>
  <c r="BD42" i="38" s="1"/>
  <c r="DI42" i="38" s="1"/>
  <c r="BG42" i="38" a="1"/>
  <c r="BG42" i="38" s="1"/>
  <c r="BH42" i="38" s="1"/>
  <c r="DK42" i="38" s="1"/>
  <c r="BL42" i="38" a="1"/>
  <c r="BL42" i="38" s="1"/>
  <c r="BE42" i="38" a="1"/>
  <c r="BE42" i="38" s="1"/>
  <c r="DH42" i="38"/>
  <c r="BI33" i="38"/>
  <c r="BP33" i="38" s="1" a="1"/>
  <c r="BP33" i="38" s="1"/>
  <c r="BR33" i="38" s="1"/>
  <c r="BS33" i="38" s="1"/>
  <c r="BT33" i="38" s="1"/>
  <c r="DQ12" i="38"/>
  <c r="DH26" i="38"/>
  <c r="BI31" i="38"/>
  <c r="BP31" i="38" s="1" a="1"/>
  <c r="BP31" i="38" s="1"/>
  <c r="BR31" i="38" s="1"/>
  <c r="DO31" i="38" s="1"/>
  <c r="DL26" i="38"/>
  <c r="DN26" i="38"/>
  <c r="DI26" i="38"/>
  <c r="BI30" i="38"/>
  <c r="DK30" i="38"/>
  <c r="BI35" i="38"/>
  <c r="BP35" i="38" s="1" a="1"/>
  <c r="BP35" i="38" s="1"/>
  <c r="BR35" i="38" s="1"/>
  <c r="DP35" i="38" s="1"/>
  <c r="BI34" i="38"/>
  <c r="DK34" i="38"/>
  <c r="BS39" i="38"/>
  <c r="BT39" i="38" s="1"/>
  <c r="DP39" i="38"/>
  <c r="DO27" i="38"/>
  <c r="DP27" i="38"/>
  <c r="BT27" i="38"/>
  <c r="BP48" i="38" a="1"/>
  <c r="BP48" i="38" s="1"/>
  <c r="BR48" i="38" s="1"/>
  <c r="BS48" i="38" s="1"/>
  <c r="DV19" i="38"/>
  <c r="DX19" i="38" s="1"/>
  <c r="EB19" i="38" s="1"/>
  <c r="DR18" i="38"/>
  <c r="DV18" i="38" s="1"/>
  <c r="DX20" i="38"/>
  <c r="DV13" i="38"/>
  <c r="BP53" i="38" a="1"/>
  <c r="BP53" i="38" s="1"/>
  <c r="BR53" i="38" s="1"/>
  <c r="BS53" i="38" s="1"/>
  <c r="D66" i="38"/>
  <c r="CB1000" i="71" a="1"/>
  <c r="CB1000" i="71" s="1"/>
  <c r="CC1000" i="71" a="1"/>
  <c r="CC1000" i="71" s="1"/>
  <c r="BI23" i="38" l="1"/>
  <c r="BP23" i="38" s="1" a="1"/>
  <c r="BP23" i="38" s="1"/>
  <c r="BR23" i="38" s="1"/>
  <c r="DO23" i="38" s="1"/>
  <c r="DO17" i="38" s="1"/>
  <c r="DC52" i="38"/>
  <c r="BG58" i="38" a="1"/>
  <c r="BG58" i="38" s="1"/>
  <c r="BH58" i="38" s="1"/>
  <c r="DK58" i="38" s="1"/>
  <c r="BC58" i="38" a="1"/>
  <c r="BC58" i="38" s="1"/>
  <c r="BD58" i="38" s="1"/>
  <c r="DH58" i="38"/>
  <c r="BJ58" i="38" a="1"/>
  <c r="BJ58" i="38" s="1"/>
  <c r="BK58" i="38" s="1"/>
  <c r="DL58" i="38" s="1"/>
  <c r="BL58" i="38" a="1"/>
  <c r="BL58" i="38" s="1"/>
  <c r="BE58" i="38" a="1"/>
  <c r="BE58" i="38" s="1"/>
  <c r="BN58" i="38" a="1"/>
  <c r="BN58" i="38" s="1"/>
  <c r="BO58" i="38" s="1"/>
  <c r="DN58" i="38" s="1"/>
  <c r="DH56" i="38"/>
  <c r="BC56" i="38" a="1"/>
  <c r="BC56" i="38" s="1"/>
  <c r="BD56" i="38" s="1"/>
  <c r="BG56" i="38" a="1"/>
  <c r="BG56" i="38" s="1"/>
  <c r="BH56" i="38" s="1"/>
  <c r="DK56" i="38" s="1"/>
  <c r="BE56" i="38" a="1"/>
  <c r="BE56" i="38" s="1"/>
  <c r="BL56" i="38" a="1"/>
  <c r="BL56" i="38" s="1"/>
  <c r="BJ56" i="38" a="1"/>
  <c r="BJ56" i="38" s="1"/>
  <c r="BK56" i="38" s="1"/>
  <c r="DL56" i="38" s="1"/>
  <c r="BN56" i="38" a="1"/>
  <c r="BN56" i="38" s="1"/>
  <c r="BO56" i="38" s="1"/>
  <c r="DN56" i="38" s="1"/>
  <c r="BE57" i="38" a="1"/>
  <c r="BE57" i="38" s="1"/>
  <c r="BJ57" i="38" a="1"/>
  <c r="BJ57" i="38" s="1"/>
  <c r="BK57" i="38" s="1"/>
  <c r="DL57" i="38" s="1"/>
  <c r="BL57" i="38" a="1"/>
  <c r="BL57" i="38" s="1"/>
  <c r="BN57" i="38" a="1"/>
  <c r="BN57" i="38" s="1"/>
  <c r="BO57" i="38" s="1"/>
  <c r="DN57" i="38" s="1"/>
  <c r="BC57" i="38" a="1"/>
  <c r="BC57" i="38" s="1"/>
  <c r="BD57" i="38" s="1"/>
  <c r="DI57" i="38" s="1"/>
  <c r="BG57" i="38" a="1"/>
  <c r="BG57" i="38" s="1"/>
  <c r="BH57" i="38" s="1"/>
  <c r="DK57" i="38" s="1"/>
  <c r="DH57" i="38"/>
  <c r="DL47" i="38"/>
  <c r="DK47" i="38"/>
  <c r="DN47" i="38"/>
  <c r="DH47" i="38"/>
  <c r="DC38" i="38"/>
  <c r="BE44" i="38" a="1"/>
  <c r="BE44" i="38" s="1"/>
  <c r="BN44" i="38" a="1"/>
  <c r="BN44" i="38" s="1"/>
  <c r="BO44" i="38" s="1"/>
  <c r="DN44" i="38" s="1"/>
  <c r="BG44" i="38" a="1"/>
  <c r="BG44" i="38" s="1"/>
  <c r="BH44" i="38" s="1"/>
  <c r="DK44" i="38" s="1"/>
  <c r="BC44" i="38" a="1"/>
  <c r="BC44" i="38" s="1"/>
  <c r="BD44" i="38" s="1"/>
  <c r="DH44" i="38"/>
  <c r="BJ44" i="38" a="1"/>
  <c r="BJ44" i="38" s="1"/>
  <c r="BK44" i="38" s="1"/>
  <c r="DL44" i="38" s="1"/>
  <c r="BL44" i="38" a="1"/>
  <c r="BL44" i="38" s="1"/>
  <c r="CC32" i="38" a="1"/>
  <c r="CC32" i="38" s="1"/>
  <c r="CP32" i="38" s="1" a="1"/>
  <c r="CP32" i="38" s="1"/>
  <c r="BG43" i="38" a="1"/>
  <c r="BG43" i="38" s="1"/>
  <c r="BH43" i="38" s="1"/>
  <c r="DK43" i="38" s="1"/>
  <c r="BJ43" i="38" a="1"/>
  <c r="BJ43" i="38" s="1"/>
  <c r="BK43" i="38" s="1"/>
  <c r="DL43" i="38" s="1"/>
  <c r="BL43" i="38" a="1"/>
  <c r="BL43" i="38" s="1"/>
  <c r="BE43" i="38" a="1"/>
  <c r="BE43" i="38" s="1"/>
  <c r="BN43" i="38" a="1"/>
  <c r="BN43" i="38" s="1"/>
  <c r="BO43" i="38" s="1"/>
  <c r="DN43" i="38" s="1"/>
  <c r="BC43" i="38" a="1"/>
  <c r="BC43" i="38" s="1"/>
  <c r="BD43" i="38" s="1"/>
  <c r="DH43" i="38"/>
  <c r="BI42" i="38"/>
  <c r="BP42" i="38" s="1" a="1"/>
  <c r="BP42" i="38" s="1"/>
  <c r="BR42" i="38" s="1"/>
  <c r="DP42" i="38" s="1"/>
  <c r="BP34" i="38" a="1"/>
  <c r="BP34" i="38" s="1"/>
  <c r="BR34" i="38" s="1"/>
  <c r="BS34" i="38" s="1"/>
  <c r="BT34" i="38" s="1"/>
  <c r="DQ32" i="38"/>
  <c r="DR32" i="38" s="1"/>
  <c r="DT32" i="38" a="1"/>
  <c r="DT32" i="38" s="1"/>
  <c r="CN32" i="38" a="1"/>
  <c r="CN32" i="38" s="1"/>
  <c r="DS32" i="38" a="1"/>
  <c r="DS32" i="38" s="1"/>
  <c r="DU32" i="38"/>
  <c r="BS31" i="38"/>
  <c r="BT31" i="38" s="1"/>
  <c r="CB33" i="38" a="1"/>
  <c r="CB33" i="38" s="1"/>
  <c r="CC33" i="38" a="1"/>
  <c r="CC33" i="38" s="1"/>
  <c r="BS35" i="38"/>
  <c r="BT35" i="38" s="1"/>
  <c r="DO35" i="38"/>
  <c r="DO33" i="38"/>
  <c r="DP33" i="38"/>
  <c r="DK26" i="38"/>
  <c r="DP31" i="38"/>
  <c r="BP30" i="38" a="1"/>
  <c r="BP30" i="38" s="1"/>
  <c r="BR30" i="38" s="1"/>
  <c r="BS30" i="38" s="1"/>
  <c r="CB27" i="38" a="1"/>
  <c r="CB27" i="38" s="1"/>
  <c r="CC27" i="38" a="1"/>
  <c r="CC27" i="38" s="1"/>
  <c r="BT48" i="38"/>
  <c r="DO48" i="38"/>
  <c r="DP48" i="38"/>
  <c r="DX18" i="38"/>
  <c r="EB18" i="38" s="1"/>
  <c r="BT53" i="38"/>
  <c r="DO53" i="38"/>
  <c r="DP53" i="38"/>
  <c r="DV12" i="38"/>
  <c r="DX13" i="38"/>
  <c r="DX12" i="38" s="1"/>
  <c r="EB20" i="38"/>
  <c r="CB39" i="38" a="1"/>
  <c r="CB39" i="38" s="1"/>
  <c r="CC39" i="38" a="1"/>
  <c r="CC39" i="38" s="1"/>
  <c r="C6" i="102" a="1"/>
  <c r="C6" i="102" s="1"/>
  <c r="H6" i="102" s="1"/>
  <c r="I6" i="102" s="1"/>
  <c r="C7" i="102" a="1"/>
  <c r="C7" i="102" s="1"/>
  <c r="H7" i="102" s="1"/>
  <c r="I7" i="102" s="1"/>
  <c r="V66" i="38"/>
  <c r="C4" i="102" a="1"/>
  <c r="C4" i="102" s="1"/>
  <c r="H4" i="102" s="1"/>
  <c r="I4" i="102" s="1"/>
  <c r="C5" i="102" a="1"/>
  <c r="C5" i="102" s="1"/>
  <c r="H5" i="102" s="1"/>
  <c r="I5" i="102" s="1"/>
  <c r="AA66" i="38"/>
  <c r="AF66" i="38"/>
  <c r="R66" i="38"/>
  <c r="DW1000" i="71"/>
  <c r="DY1000" i="71" a="1"/>
  <c r="DY1000" i="71" s="1"/>
  <c r="DX1000" i="71"/>
  <c r="CP1000" i="71" a="1"/>
  <c r="CP1000" i="71" s="1"/>
  <c r="EA1000" i="71"/>
  <c r="DZ1000" i="71" a="1"/>
  <c r="DZ1000" i="71" s="1"/>
  <c r="DQ1000" i="71"/>
  <c r="CN1000" i="71" a="1"/>
  <c r="CN1000" i="71" s="1"/>
  <c r="DR1000" i="71" s="1"/>
  <c r="DU1000" i="71"/>
  <c r="DT1000" i="71" a="1"/>
  <c r="DT1000" i="71" s="1"/>
  <c r="DS1000" i="71" a="1"/>
  <c r="DS1000" i="71" s="1"/>
  <c r="DP23" i="38" l="1"/>
  <c r="DP17" i="38" s="1"/>
  <c r="BS23" i="38"/>
  <c r="BT23" i="38" s="1"/>
  <c r="DK52" i="38"/>
  <c r="DL52" i="38"/>
  <c r="DH52" i="38"/>
  <c r="DN52" i="38"/>
  <c r="DI58" i="38"/>
  <c r="BI58" i="38"/>
  <c r="DI56" i="38"/>
  <c r="BI56" i="38"/>
  <c r="BP56" i="38" s="1" a="1"/>
  <c r="BP56" i="38" s="1"/>
  <c r="BR56" i="38" s="1"/>
  <c r="BI57" i="38"/>
  <c r="DI47" i="38"/>
  <c r="DN38" i="38"/>
  <c r="DH38" i="38"/>
  <c r="DL38" i="38"/>
  <c r="DY32" i="38" a="1"/>
  <c r="DY32" i="38" s="1"/>
  <c r="DI44" i="38"/>
  <c r="BI44" i="38"/>
  <c r="BP44" i="38" s="1" a="1"/>
  <c r="BP44" i="38" s="1"/>
  <c r="BR44" i="38" s="1"/>
  <c r="BS44" i="38" s="1"/>
  <c r="BT44" i="38" s="1"/>
  <c r="DK38" i="38"/>
  <c r="EA32" i="38"/>
  <c r="DW32" i="38"/>
  <c r="DZ32" i="38" a="1"/>
  <c r="DZ32" i="38" s="1"/>
  <c r="BI43" i="38"/>
  <c r="DI43" i="38"/>
  <c r="DO42" i="38"/>
  <c r="BS42" i="38"/>
  <c r="BT42" i="38" s="1"/>
  <c r="CB42" i="38" s="1" a="1"/>
  <c r="CB42" i="38" s="1"/>
  <c r="BT30" i="38"/>
  <c r="BS26" i="38"/>
  <c r="CB34" i="38" a="1"/>
  <c r="CB34" i="38" s="1"/>
  <c r="CC34" i="38" a="1"/>
  <c r="CC34" i="38" s="1"/>
  <c r="CC31" i="38" a="1"/>
  <c r="CC31" i="38" s="1"/>
  <c r="CB31" i="38" a="1"/>
  <c r="CB31" i="38" s="1"/>
  <c r="DS33" i="38" a="1"/>
  <c r="DS33" i="38" s="1"/>
  <c r="DQ33" i="38"/>
  <c r="DR33" i="38" s="1"/>
  <c r="CN33" i="38" a="1"/>
  <c r="CN33" i="38" s="1"/>
  <c r="DU33" i="38"/>
  <c r="DT33" i="38" a="1"/>
  <c r="DT33" i="38" s="1"/>
  <c r="DV32" i="38"/>
  <c r="CC35" i="38" a="1"/>
  <c r="CC35" i="38" s="1"/>
  <c r="CB35" i="38" a="1"/>
  <c r="CB35" i="38" s="1"/>
  <c r="DO30" i="38"/>
  <c r="DP30" i="38"/>
  <c r="DZ33" i="38" a="1"/>
  <c r="DZ33" i="38" s="1"/>
  <c r="DY33" i="38" a="1"/>
  <c r="DY33" i="38" s="1"/>
  <c r="CP33" i="38" a="1"/>
  <c r="CP33" i="38" s="1"/>
  <c r="DW33" i="38"/>
  <c r="EA33" i="38"/>
  <c r="DO34" i="38"/>
  <c r="DP34" i="38"/>
  <c r="DY27" i="38" a="1"/>
  <c r="DY27" i="38" s="1"/>
  <c r="EA27" i="38"/>
  <c r="DZ27" i="38" a="1"/>
  <c r="DZ27" i="38" s="1"/>
  <c r="DW27" i="38"/>
  <c r="CP27" i="38" a="1"/>
  <c r="CP27" i="38" s="1"/>
  <c r="CN27" i="38" a="1"/>
  <c r="CN27" i="38" s="1"/>
  <c r="DQ27" i="38"/>
  <c r="DS27" i="38" a="1"/>
  <c r="DS27" i="38" s="1"/>
  <c r="DU27" i="38"/>
  <c r="DT27" i="38" a="1"/>
  <c r="DT27" i="38" s="1"/>
  <c r="CB48" i="38" a="1"/>
  <c r="CB48" i="38" s="1"/>
  <c r="CC48" i="38" a="1"/>
  <c r="CC48" i="38" s="1"/>
  <c r="EB13" i="38"/>
  <c r="EB12" i="38" s="1"/>
  <c r="CB53" i="38" a="1"/>
  <c r="CB53" i="38" s="1"/>
  <c r="CC53" i="38" a="1"/>
  <c r="CC53" i="38" s="1"/>
  <c r="EA39" i="38"/>
  <c r="DY39" i="38" a="1"/>
  <c r="DY39" i="38" s="1"/>
  <c r="DZ39" i="38" a="1"/>
  <c r="DZ39" i="38" s="1"/>
  <c r="DW39" i="38"/>
  <c r="CP39" i="38" a="1"/>
  <c r="CP39" i="38" s="1"/>
  <c r="DU39" i="38"/>
  <c r="CN39" i="38" a="1"/>
  <c r="CN39" i="38" s="1"/>
  <c r="DQ39" i="38"/>
  <c r="DS39" i="38" a="1"/>
  <c r="DS39" i="38" s="1"/>
  <c r="DT39" i="38" a="1"/>
  <c r="DT39" i="38" s="1"/>
  <c r="G17" i="90" a="1"/>
  <c r="G17" i="90" s="1"/>
  <c r="F22" i="90" a="1"/>
  <c r="F22" i="90" s="1"/>
  <c r="G28" i="90" a="1"/>
  <c r="G28" i="90" s="1"/>
  <c r="D13" i="90" a="1"/>
  <c r="D13" i="90" s="1"/>
  <c r="G13" i="90" a="1"/>
  <c r="G13" i="90" s="1"/>
  <c r="D30" i="90" a="1"/>
  <c r="D30" i="90" s="1"/>
  <c r="G8" i="90" a="1"/>
  <c r="G8" i="90" s="1"/>
  <c r="D29" i="90" a="1"/>
  <c r="D29" i="90" s="1"/>
  <c r="G27" i="90" a="1"/>
  <c r="G27" i="90" s="1"/>
  <c r="E21" i="90" a="1"/>
  <c r="E21" i="90" s="1"/>
  <c r="E20" i="90" a="1"/>
  <c r="E20" i="90" s="1"/>
  <c r="F30" i="90" a="1"/>
  <c r="F30" i="90" s="1"/>
  <c r="E9" i="90" a="1"/>
  <c r="E9" i="90" s="1"/>
  <c r="F15" i="90" a="1"/>
  <c r="F15" i="90" s="1"/>
  <c r="D14" i="90" a="1"/>
  <c r="D14" i="90" s="1"/>
  <c r="F20" i="90" a="1"/>
  <c r="F20" i="90" s="1"/>
  <c r="F28" i="90" a="1"/>
  <c r="F28" i="90" s="1"/>
  <c r="D20" i="90" a="1"/>
  <c r="D20" i="90" s="1"/>
  <c r="D10" i="90" a="1"/>
  <c r="D10" i="90" s="1"/>
  <c r="CZ66" i="38" a="1"/>
  <c r="CZ66" i="38" s="1"/>
  <c r="E28" i="90" a="1"/>
  <c r="E28" i="90" s="1"/>
  <c r="F17" i="90" a="1"/>
  <c r="F17" i="90" s="1"/>
  <c r="G21" i="90" a="1"/>
  <c r="G21" i="90" s="1"/>
  <c r="CY66" i="38" a="1"/>
  <c r="CY66" i="38" s="1"/>
  <c r="CX66" i="38" a="1"/>
  <c r="CX66" i="38" s="1"/>
  <c r="E13" i="90" a="1"/>
  <c r="E13" i="90" s="1"/>
  <c r="D9" i="90" a="1"/>
  <c r="D9" i="90" s="1"/>
  <c r="G16" i="90" a="1"/>
  <c r="G16" i="90" s="1"/>
  <c r="D8" i="90" a="1"/>
  <c r="D8" i="90" s="1"/>
  <c r="D28" i="90" a="1"/>
  <c r="D28" i="90" s="1"/>
  <c r="G14" i="90" a="1"/>
  <c r="G14" i="90" s="1"/>
  <c r="D22" i="90" a="1"/>
  <c r="D22" i="90" s="1"/>
  <c r="F13" i="90" a="1"/>
  <c r="F13" i="90" s="1"/>
  <c r="E16" i="90" a="1"/>
  <c r="E16" i="90" s="1"/>
  <c r="D16" i="90" a="1"/>
  <c r="D16" i="90" s="1"/>
  <c r="G15" i="90" a="1"/>
  <c r="G15" i="90" s="1"/>
  <c r="G30" i="90" a="1"/>
  <c r="G30" i="90" s="1"/>
  <c r="F21" i="90" a="1"/>
  <c r="F21" i="90" s="1"/>
  <c r="D21" i="90" a="1"/>
  <c r="D21" i="90" s="1"/>
  <c r="F14" i="90" a="1"/>
  <c r="F14" i="90" s="1"/>
  <c r="E8" i="90" a="1"/>
  <c r="E8" i="90" s="1"/>
  <c r="F27" i="90" a="1"/>
  <c r="F27" i="90" s="1"/>
  <c r="E22" i="90" a="1"/>
  <c r="E22" i="90" s="1"/>
  <c r="E14" i="90" a="1"/>
  <c r="E14" i="90" s="1"/>
  <c r="E15" i="90" a="1"/>
  <c r="E15" i="90" s="1"/>
  <c r="D17" i="90" a="1"/>
  <c r="D17" i="90" s="1"/>
  <c r="G9" i="90" a="1"/>
  <c r="G9" i="90" s="1"/>
  <c r="E30" i="90" a="1"/>
  <c r="E30" i="90" s="1"/>
  <c r="F8" i="90" a="1"/>
  <c r="F8" i="90" s="1"/>
  <c r="E17" i="90" a="1"/>
  <c r="E17" i="90" s="1"/>
  <c r="D27" i="90" a="1"/>
  <c r="D27" i="90" s="1"/>
  <c r="E27" i="90" a="1"/>
  <c r="E27" i="90" s="1"/>
  <c r="F16" i="90" a="1"/>
  <c r="F16" i="90" s="1"/>
  <c r="G20" i="90" a="1"/>
  <c r="G20" i="90" s="1"/>
  <c r="F29" i="90" a="1"/>
  <c r="F29" i="90" s="1"/>
  <c r="D15" i="90" a="1"/>
  <c r="D15" i="90" s="1"/>
  <c r="E29" i="90" a="1"/>
  <c r="E29" i="90" s="1"/>
  <c r="CW66" i="38" a="1"/>
  <c r="CW66" i="38" s="1"/>
  <c r="F10" i="90" a="1"/>
  <c r="F10" i="90" s="1"/>
  <c r="E10" i="90" a="1"/>
  <c r="E10" i="90" s="1"/>
  <c r="G29" i="90" a="1"/>
  <c r="G29" i="90" s="1"/>
  <c r="G10" i="90" a="1"/>
  <c r="G10" i="90" s="1"/>
  <c r="F9" i="90" a="1"/>
  <c r="F9" i="90" s="1"/>
  <c r="G22" i="90" a="1"/>
  <c r="G22" i="90" s="1"/>
  <c r="BS17" i="38" l="1"/>
  <c r="CC23" i="38" a="1"/>
  <c r="CC23" i="38" s="1"/>
  <c r="CB23" i="38" a="1"/>
  <c r="CB23" i="38" s="1"/>
  <c r="BT17" i="38"/>
  <c r="DI52" i="38"/>
  <c r="BP58" i="38" a="1"/>
  <c r="BP58" i="38" s="1"/>
  <c r="BR58" i="38" s="1"/>
  <c r="BS58" i="38" s="1"/>
  <c r="BT58" i="38" s="1"/>
  <c r="BS56" i="38"/>
  <c r="BT56" i="38" s="1"/>
  <c r="DO56" i="38"/>
  <c r="DP56" i="38"/>
  <c r="BP57" i="38" a="1"/>
  <c r="BP57" i="38" s="1"/>
  <c r="BR57" i="38" s="1"/>
  <c r="BS57" i="38" s="1"/>
  <c r="DX32" i="38"/>
  <c r="EB32" i="38" s="1"/>
  <c r="BU32" i="38" s="1"/>
  <c r="DP44" i="38"/>
  <c r="DO44" i="38"/>
  <c r="DI38" i="38"/>
  <c r="CC42" i="38" a="1"/>
  <c r="CC42" i="38" s="1"/>
  <c r="EA42" i="38" s="1"/>
  <c r="BP43" i="38" a="1"/>
  <c r="BP43" i="38" s="1"/>
  <c r="BR43" i="38" s="1"/>
  <c r="BS43" i="38" s="1"/>
  <c r="CC44" i="38" a="1"/>
  <c r="CC44" i="38" s="1"/>
  <c r="CB44" i="38" a="1"/>
  <c r="CB44" i="38" s="1"/>
  <c r="DQ42" i="38"/>
  <c r="DR42" i="38" s="1"/>
  <c r="DS42" i="38" a="1"/>
  <c r="DS42" i="38" s="1"/>
  <c r="DT42" i="38" a="1"/>
  <c r="DT42" i="38" s="1"/>
  <c r="DU42" i="38"/>
  <c r="CN42" i="38" a="1"/>
  <c r="CN42" i="38" s="1"/>
  <c r="DV33" i="38"/>
  <c r="DX33" i="38" s="1"/>
  <c r="EB33" i="38" s="1"/>
  <c r="BU33" i="38" s="1"/>
  <c r="DY35" i="38" a="1"/>
  <c r="DY35" i="38" s="1"/>
  <c r="DZ35" i="38" a="1"/>
  <c r="DZ35" i="38" s="1"/>
  <c r="CP35" i="38" a="1"/>
  <c r="CP35" i="38" s="1"/>
  <c r="EA35" i="38"/>
  <c r="DW35" i="38"/>
  <c r="CP31" i="38" a="1"/>
  <c r="CP31" i="38" s="1"/>
  <c r="DW31" i="38"/>
  <c r="EA31" i="38"/>
  <c r="DY31" i="38" a="1"/>
  <c r="DY31" i="38" s="1"/>
  <c r="DZ31" i="38" a="1"/>
  <c r="DZ31" i="38" s="1"/>
  <c r="DU31" i="38"/>
  <c r="CN31" i="38" a="1"/>
  <c r="CN31" i="38" s="1"/>
  <c r="DT31" i="38" a="1"/>
  <c r="DT31" i="38" s="1"/>
  <c r="DS31" i="38" a="1"/>
  <c r="DS31" i="38" s="1"/>
  <c r="DQ31" i="38"/>
  <c r="DR31" i="38" s="1"/>
  <c r="DP26" i="38"/>
  <c r="DZ34" i="38" a="1"/>
  <c r="DZ34" i="38" s="1"/>
  <c r="EA34" i="38"/>
  <c r="DY34" i="38" a="1"/>
  <c r="DY34" i="38" s="1"/>
  <c r="CP34" i="38" a="1"/>
  <c r="CP34" i="38" s="1"/>
  <c r="DW34" i="38"/>
  <c r="DO26" i="38"/>
  <c r="DQ34" i="38"/>
  <c r="DR34" i="38" s="1"/>
  <c r="DU34" i="38"/>
  <c r="DS34" i="38" a="1"/>
  <c r="DS34" i="38" s="1"/>
  <c r="CN34" i="38" a="1"/>
  <c r="CN34" i="38" s="1"/>
  <c r="DT34" i="38" a="1"/>
  <c r="DT34" i="38" s="1"/>
  <c r="DS35" i="38" a="1"/>
  <c r="DS35" i="38" s="1"/>
  <c r="CN35" i="38" a="1"/>
  <c r="CN35" i="38" s="1"/>
  <c r="DT35" i="38" a="1"/>
  <c r="DT35" i="38" s="1"/>
  <c r="DU35" i="38"/>
  <c r="DQ35" i="38"/>
  <c r="DR35" i="38" s="1"/>
  <c r="CC30" i="38" a="1"/>
  <c r="CC30" i="38" s="1"/>
  <c r="CB30" i="38" a="1"/>
  <c r="CB30" i="38" s="1"/>
  <c r="BT26" i="38"/>
  <c r="DR27" i="38"/>
  <c r="CP48" i="38" a="1"/>
  <c r="CP48" i="38" s="1"/>
  <c r="EA48" i="38"/>
  <c r="DY48" i="38" a="1"/>
  <c r="DY48" i="38" s="1"/>
  <c r="DW48" i="38"/>
  <c r="DZ48" i="38" a="1"/>
  <c r="DZ48" i="38" s="1"/>
  <c r="DT48" i="38" a="1"/>
  <c r="DT48" i="38" s="1"/>
  <c r="DU48" i="38"/>
  <c r="CN48" i="38" a="1"/>
  <c r="CN48" i="38" s="1"/>
  <c r="DQ48" i="38"/>
  <c r="DS48" i="38" a="1"/>
  <c r="DS48" i="38" s="1"/>
  <c r="EA53" i="38"/>
  <c r="DW53" i="38"/>
  <c r="CP53" i="38" a="1"/>
  <c r="CP53" i="38" s="1"/>
  <c r="DY53" i="38" a="1"/>
  <c r="DY53" i="38" s="1"/>
  <c r="DZ53" i="38" a="1"/>
  <c r="DZ53" i="38" s="1"/>
  <c r="DU53" i="38"/>
  <c r="CN53" i="38" a="1"/>
  <c r="CN53" i="38" s="1"/>
  <c r="DQ53" i="38"/>
  <c r="DS53" i="38" a="1"/>
  <c r="DS53" i="38" s="1"/>
  <c r="DT53" i="38" a="1"/>
  <c r="DT53" i="38" s="1"/>
  <c r="DR39" i="38"/>
  <c r="DF66" i="38" a="1"/>
  <c r="DF66" i="38" s="1"/>
  <c r="AZ66" i="38"/>
  <c r="D61" i="79" a="1"/>
  <c r="D61" i="79" s="1"/>
  <c r="D62" i="79" s="1"/>
  <c r="D64" i="79" s="1"/>
  <c r="CN23" i="38" l="1" a="1"/>
  <c r="CN23" i="38" s="1"/>
  <c r="DQ23" i="38"/>
  <c r="DS23" i="38" a="1"/>
  <c r="DS23" i="38" s="1"/>
  <c r="DS17" i="38" s="1"/>
  <c r="DT23" i="38" a="1"/>
  <c r="DT23" i="38" s="1"/>
  <c r="DT17" i="38" s="1"/>
  <c r="DU23" i="38"/>
  <c r="DU17" i="38" s="1"/>
  <c r="DY23" i="38" a="1"/>
  <c r="DY23" i="38" s="1"/>
  <c r="DY17" i="38" s="1"/>
  <c r="EA23" i="38"/>
  <c r="EA17" i="38" s="1"/>
  <c r="CP23" i="38" a="1"/>
  <c r="CP23" i="38" s="1"/>
  <c r="DW23" i="38"/>
  <c r="DW17" i="38" s="1"/>
  <c r="DZ23" i="38" a="1"/>
  <c r="DZ23" i="38" s="1"/>
  <c r="DZ17" i="38" s="1"/>
  <c r="CB58" i="38" a="1"/>
  <c r="CB58" i="38" s="1"/>
  <c r="CC58" i="38" a="1"/>
  <c r="CC58" i="38" s="1"/>
  <c r="DO58" i="38"/>
  <c r="DP58" i="38"/>
  <c r="CB56" i="38" a="1"/>
  <c r="CB56" i="38" s="1"/>
  <c r="CC56" i="38" a="1"/>
  <c r="CC56" i="38" s="1"/>
  <c r="BT57" i="38"/>
  <c r="BS52" i="38"/>
  <c r="DO57" i="38"/>
  <c r="DP57" i="38"/>
  <c r="BS47" i="38"/>
  <c r="DO47" i="38"/>
  <c r="DW42" i="38"/>
  <c r="CP42" i="38" a="1"/>
  <c r="CP42" i="38" s="1"/>
  <c r="DY42" i="38" a="1"/>
  <c r="DY42" i="38" s="1"/>
  <c r="DZ42" i="38" a="1"/>
  <c r="DZ42" i="38" s="1"/>
  <c r="BT43" i="38"/>
  <c r="BS38" i="38"/>
  <c r="DO43" i="38"/>
  <c r="DO38" i="38" s="1"/>
  <c r="DP43" i="38"/>
  <c r="DS44" i="38" a="1"/>
  <c r="DS44" i="38" s="1"/>
  <c r="DT44" i="38" a="1"/>
  <c r="DT44" i="38" s="1"/>
  <c r="CN44" i="38" a="1"/>
  <c r="CN44" i="38" s="1"/>
  <c r="DU44" i="38"/>
  <c r="DQ44" i="38"/>
  <c r="DZ44" i="38" a="1"/>
  <c r="DZ44" i="38" s="1"/>
  <c r="EA44" i="38"/>
  <c r="DW44" i="38"/>
  <c r="CP44" i="38" a="1"/>
  <c r="CP44" i="38" s="1"/>
  <c r="DY44" i="38" a="1"/>
  <c r="DY44" i="38" s="1"/>
  <c r="DV42" i="38"/>
  <c r="DV31" i="38"/>
  <c r="DX31" i="38" s="1"/>
  <c r="EB31" i="38" s="1"/>
  <c r="BU31" i="38" s="1"/>
  <c r="DV35" i="38"/>
  <c r="DX35" i="38" s="1"/>
  <c r="EB35" i="38" s="1"/>
  <c r="BU35" i="38" s="1"/>
  <c r="DV34" i="38"/>
  <c r="DX34" i="38" s="1"/>
  <c r="EB34" i="38" s="1"/>
  <c r="BU34" i="38" s="1"/>
  <c r="DT30" i="38" a="1"/>
  <c r="DT30" i="38" s="1"/>
  <c r="DT26" i="38" s="1"/>
  <c r="DS30" i="38" a="1"/>
  <c r="DS30" i="38" s="1"/>
  <c r="DS26" i="38" s="1"/>
  <c r="DQ30" i="38"/>
  <c r="CN30" i="38" a="1"/>
  <c r="CN30" i="38" s="1"/>
  <c r="DU30" i="38"/>
  <c r="DU26" i="38" s="1"/>
  <c r="DZ30" i="38" a="1"/>
  <c r="DZ30" i="38" s="1"/>
  <c r="DZ26" i="38" s="1"/>
  <c r="DY30" i="38" a="1"/>
  <c r="DY30" i="38" s="1"/>
  <c r="DY26" i="38" s="1"/>
  <c r="CP30" i="38" a="1"/>
  <c r="CP30" i="38" s="1"/>
  <c r="DW30" i="38"/>
  <c r="DW26" i="38" s="1"/>
  <c r="EA30" i="38"/>
  <c r="EA26" i="38" s="1"/>
  <c r="DV27" i="38"/>
  <c r="DR48" i="38"/>
  <c r="DR53" i="38"/>
  <c r="DV39" i="38"/>
  <c r="O3" i="50"/>
  <c r="EX66" i="38" a="1"/>
  <c r="EX66" i="38" s="1"/>
  <c r="EX7" i="38" s="1"/>
  <c r="D59" i="45" a="1"/>
  <c r="D59" i="45" s="1"/>
  <c r="ED66" i="38" a="1"/>
  <c r="ED66" i="38" s="1"/>
  <c r="EK66" i="38" a="1"/>
  <c r="EK66" i="38" s="1"/>
  <c r="EG66" i="38" a="1"/>
  <c r="EG66" i="38" s="1"/>
  <c r="EH66" i="38" a="1"/>
  <c r="EH66" i="38" s="1"/>
  <c r="EI66" i="38" a="1"/>
  <c r="EI66" i="38" s="1"/>
  <c r="EL66" i="38" a="1"/>
  <c r="EL66" i="38" s="1"/>
  <c r="EJ66" i="38" a="1"/>
  <c r="EJ66" i="38" s="1"/>
  <c r="EF66" i="38" a="1"/>
  <c r="EF66" i="38" s="1"/>
  <c r="DO52" i="38" l="1"/>
  <c r="DQ17" i="38"/>
  <c r="DR23" i="38"/>
  <c r="DW58" i="38"/>
  <c r="DZ58" i="38" a="1"/>
  <c r="DZ58" i="38" s="1"/>
  <c r="EA58" i="38"/>
  <c r="DY58" i="38" a="1"/>
  <c r="DY58" i="38" s="1"/>
  <c r="CP58" i="38" a="1"/>
  <c r="CP58" i="38" s="1"/>
  <c r="CN58" i="38" a="1"/>
  <c r="CN58" i="38" s="1"/>
  <c r="DU58" i="38"/>
  <c r="DS58" i="38" a="1"/>
  <c r="DS58" i="38" s="1"/>
  <c r="DT58" i="38" a="1"/>
  <c r="DT58" i="38" s="1"/>
  <c r="DQ58" i="38"/>
  <c r="DZ56" i="38" a="1"/>
  <c r="DZ56" i="38" s="1"/>
  <c r="DY56" i="38" a="1"/>
  <c r="DY56" i="38" s="1"/>
  <c r="CP56" i="38" a="1"/>
  <c r="CP56" i="38" s="1"/>
  <c r="DW56" i="38"/>
  <c r="EA56" i="38"/>
  <c r="DU56" i="38"/>
  <c r="DT56" i="38" a="1"/>
  <c r="DT56" i="38" s="1"/>
  <c r="DS56" i="38" a="1"/>
  <c r="DS56" i="38" s="1"/>
  <c r="DQ56" i="38"/>
  <c r="CN56" i="38" a="1"/>
  <c r="CN56" i="38" s="1"/>
  <c r="DX42" i="38"/>
  <c r="EB42" i="38" s="1"/>
  <c r="BU42" i="38" s="1"/>
  <c r="DP52" i="38"/>
  <c r="CB57" i="38" a="1"/>
  <c r="CB57" i="38" s="1"/>
  <c r="CC57" i="38" a="1"/>
  <c r="CC57" i="38" s="1"/>
  <c r="BT52" i="38"/>
  <c r="DP47" i="38"/>
  <c r="BT47" i="38"/>
  <c r="DP38" i="38"/>
  <c r="CB43" i="38" a="1"/>
  <c r="CB43" i="38" s="1"/>
  <c r="CC43" i="38" a="1"/>
  <c r="CC43" i="38" s="1"/>
  <c r="BT38" i="38"/>
  <c r="DR44" i="38"/>
  <c r="DR30" i="38"/>
  <c r="DQ26" i="38"/>
  <c r="DX27" i="38"/>
  <c r="DV48" i="38"/>
  <c r="DV53" i="38"/>
  <c r="DX39" i="38"/>
  <c r="C15" i="90" a="1"/>
  <c r="C15" i="90" s="1"/>
  <c r="C14" i="90" a="1"/>
  <c r="C14" i="90" s="1"/>
  <c r="C20" i="90" a="1"/>
  <c r="C20" i="90" s="1"/>
  <c r="C13" i="90" a="1"/>
  <c r="C13" i="90" s="1"/>
  <c r="C29" i="90" a="1"/>
  <c r="C29" i="90" s="1"/>
  <c r="C27" i="90" a="1"/>
  <c r="C27" i="90" s="1"/>
  <c r="C28" i="90" a="1"/>
  <c r="C28" i="90" s="1"/>
  <c r="C21" i="90" a="1"/>
  <c r="C21" i="90" s="1"/>
  <c r="C22" i="90" a="1"/>
  <c r="C22" i="90" s="1"/>
  <c r="C30" i="90" a="1"/>
  <c r="C30" i="90" s="1"/>
  <c r="C10" i="90" a="1"/>
  <c r="C10" i="90" s="1"/>
  <c r="C17" i="90" a="1"/>
  <c r="C17" i="90" s="1"/>
  <c r="C8" i="90" a="1"/>
  <c r="C8" i="90" s="1"/>
  <c r="C16" i="90" a="1"/>
  <c r="C16" i="90" s="1"/>
  <c r="C9" i="90" a="1"/>
  <c r="C9" i="90" s="1"/>
  <c r="DV23" i="38" l="1"/>
  <c r="DR17" i="38"/>
  <c r="DR58" i="38"/>
  <c r="DV58" i="38" s="1"/>
  <c r="DX58" i="38" s="1"/>
  <c r="EB58" i="38" s="1"/>
  <c r="BU58" i="38" s="1"/>
  <c r="DR56" i="38"/>
  <c r="DV56" i="38" s="1"/>
  <c r="DX56" i="38" s="1"/>
  <c r="EB56" i="38" s="1"/>
  <c r="BU56" i="38" s="1"/>
  <c r="DZ57" i="38" a="1"/>
  <c r="DZ57" i="38" s="1"/>
  <c r="DZ52" i="38" s="1"/>
  <c r="DY57" i="38" a="1"/>
  <c r="DY57" i="38" s="1"/>
  <c r="DY52" i="38" s="1"/>
  <c r="CP57" i="38" a="1"/>
  <c r="CP57" i="38" s="1"/>
  <c r="DW57" i="38"/>
  <c r="DW52" i="38" s="1"/>
  <c r="EA57" i="38"/>
  <c r="EA52" i="38" s="1"/>
  <c r="CN57" i="38" a="1"/>
  <c r="CN57" i="38" s="1"/>
  <c r="DU57" i="38"/>
  <c r="DU52" i="38" s="1"/>
  <c r="DQ57" i="38"/>
  <c r="DT57" i="38" a="1"/>
  <c r="DT57" i="38" s="1"/>
  <c r="DT52" i="38" s="1"/>
  <c r="DS57" i="38" a="1"/>
  <c r="DS57" i="38" s="1"/>
  <c r="DS52" i="38" s="1"/>
  <c r="EA47" i="38"/>
  <c r="DY47" i="38"/>
  <c r="DZ47" i="38"/>
  <c r="DW47" i="38"/>
  <c r="DU47" i="38"/>
  <c r="DS47" i="38"/>
  <c r="DT47" i="38"/>
  <c r="CP43" i="38" a="1"/>
  <c r="CP43" i="38" s="1"/>
  <c r="DY43" i="38" a="1"/>
  <c r="DY43" i="38" s="1"/>
  <c r="DY38" i="38" s="1"/>
  <c r="DZ43" i="38" a="1"/>
  <c r="DZ43" i="38" s="1"/>
  <c r="DZ38" i="38" s="1"/>
  <c r="DW43" i="38"/>
  <c r="DW38" i="38" s="1"/>
  <c r="EA43" i="38"/>
  <c r="EA38" i="38" s="1"/>
  <c r="DQ43" i="38"/>
  <c r="DT43" i="38" a="1"/>
  <c r="DT43" i="38" s="1"/>
  <c r="DT38" i="38" s="1"/>
  <c r="DU43" i="38"/>
  <c r="DU38" i="38" s="1"/>
  <c r="CN43" i="38" a="1"/>
  <c r="CN43" i="38" s="1"/>
  <c r="DS43" i="38" a="1"/>
  <c r="DS43" i="38" s="1"/>
  <c r="DS38" i="38" s="1"/>
  <c r="DV44" i="38"/>
  <c r="DV30" i="38"/>
  <c r="DR26" i="38"/>
  <c r="EB27" i="38"/>
  <c r="DX48" i="38"/>
  <c r="DX53" i="38"/>
  <c r="EB39" i="38"/>
  <c r="U16" i="90" a="1"/>
  <c r="U16" i="90" s="1"/>
  <c r="U22" i="90" a="1"/>
  <c r="U22" i="90" s="1"/>
  <c r="U27" i="90" a="1"/>
  <c r="U27" i="90" s="1"/>
  <c r="U13" i="90" a="1"/>
  <c r="U13" i="90" s="1"/>
  <c r="U14" i="90" a="1"/>
  <c r="U14" i="90" s="1"/>
  <c r="U17" i="90" a="1"/>
  <c r="U17" i="90" s="1"/>
  <c r="U20" i="90" a="1"/>
  <c r="U20" i="90" s="1"/>
  <c r="U8" i="90" a="1"/>
  <c r="U8" i="90" s="1"/>
  <c r="U15" i="90" a="1"/>
  <c r="U15" i="90" s="1"/>
  <c r="U21" i="90" a="1"/>
  <c r="U21" i="90" s="1"/>
  <c r="U30" i="90" a="1"/>
  <c r="U30" i="90" s="1"/>
  <c r="U29" i="90" a="1"/>
  <c r="U29" i="90" s="1"/>
  <c r="U9" i="90" a="1"/>
  <c r="U9" i="90" s="1"/>
  <c r="U10" i="90" a="1"/>
  <c r="U10" i="90" s="1"/>
  <c r="U28" i="90" a="1"/>
  <c r="U28" i="90" s="1"/>
  <c r="R16" i="90" a="1"/>
  <c r="R16" i="90" s="1"/>
  <c r="R10" i="90" a="1"/>
  <c r="R10" i="90" s="1"/>
  <c r="R15" i="90" a="1"/>
  <c r="R15" i="90" s="1"/>
  <c r="R14" i="90" a="1"/>
  <c r="R14" i="90" s="1"/>
  <c r="R28" i="90" a="1"/>
  <c r="R28" i="90" s="1"/>
  <c r="R21" i="90" a="1"/>
  <c r="R21" i="90" s="1"/>
  <c r="R8" i="90" a="1"/>
  <c r="R8" i="90" s="1"/>
  <c r="R9" i="90" a="1"/>
  <c r="R9" i="90" s="1"/>
  <c r="R20" i="90" a="1"/>
  <c r="R20" i="90" s="1"/>
  <c r="R13" i="90" a="1"/>
  <c r="R13" i="90" s="1"/>
  <c r="R17" i="90" a="1"/>
  <c r="R17" i="90" s="1"/>
  <c r="R29" i="90" a="1"/>
  <c r="R29" i="90" s="1"/>
  <c r="R30" i="90" a="1"/>
  <c r="R30" i="90" s="1"/>
  <c r="R27" i="90" a="1"/>
  <c r="R27" i="90" s="1"/>
  <c r="R22" i="90" a="1"/>
  <c r="R22" i="90" s="1"/>
  <c r="DX23" i="38" l="1"/>
  <c r="DV17" i="38"/>
  <c r="DQ52" i="38"/>
  <c r="DR57" i="38"/>
  <c r="DR47" i="38"/>
  <c r="DQ47" i="38"/>
  <c r="DR43" i="38"/>
  <c r="DR38" i="38" s="1"/>
  <c r="DQ38" i="38"/>
  <c r="DX44" i="38"/>
  <c r="DX30" i="38"/>
  <c r="DV26" i="38"/>
  <c r="BU27" i="38"/>
  <c r="EB48" i="38"/>
  <c r="EB53" i="38"/>
  <c r="BU39" i="38"/>
  <c r="EB23" i="38" l="1"/>
  <c r="DX17" i="38"/>
  <c r="DV57" i="38"/>
  <c r="DR52" i="38"/>
  <c r="DV43" i="38"/>
  <c r="EB44" i="38"/>
  <c r="EB30" i="38"/>
  <c r="DX26" i="38"/>
  <c r="BU48" i="38"/>
  <c r="BU53" i="38"/>
  <c r="C3" i="102" a="1"/>
  <c r="C3" i="102" s="1"/>
  <c r="EB17" i="38" l="1"/>
  <c r="BU23" i="38"/>
  <c r="BV17" i="38" s="1"/>
  <c r="BW17" i="38" s="1"/>
  <c r="DX57" i="38"/>
  <c r="DV52" i="38"/>
  <c r="DV47" i="38"/>
  <c r="DX43" i="38"/>
  <c r="DV38" i="38"/>
  <c r="BU44" i="38"/>
  <c r="BU30" i="38"/>
  <c r="BV26" i="38" s="1"/>
  <c r="BW26" i="38" s="1"/>
  <c r="EB26" i="38"/>
  <c r="H3" i="102"/>
  <c r="EB57" i="38" l="1"/>
  <c r="DX52" i="38"/>
  <c r="DX47" i="38"/>
  <c r="EB43" i="38"/>
  <c r="DX38" i="38"/>
  <c r="CV66" i="38" a="1"/>
  <c r="CV66" i="38" s="1"/>
  <c r="J66" i="38"/>
  <c r="G3" i="102"/>
  <c r="F4" i="102"/>
  <c r="I3" i="102"/>
  <c r="BU57" i="38" l="1"/>
  <c r="BV52" i="38" s="1"/>
  <c r="BW52" i="38" s="1"/>
  <c r="EB52" i="38"/>
  <c r="BV47" i="38"/>
  <c r="BW47" i="38" s="1"/>
  <c r="EB47" i="38"/>
  <c r="BU43" i="38"/>
  <c r="BV38" i="38" s="1"/>
  <c r="BW38" i="38" s="1"/>
  <c r="EB38" i="38"/>
  <c r="G4" i="102"/>
  <c r="F5" i="102"/>
  <c r="BX12" i="38" l="1" a="1"/>
  <c r="BX12" i="38" s="1"/>
  <c r="BX17" i="38" a="1"/>
  <c r="BX17" i="38" s="1"/>
  <c r="G5" i="102"/>
  <c r="F6" i="102"/>
  <c r="C17" i="102" a="1"/>
  <c r="C17" i="102" s="1"/>
  <c r="C20" i="102" a="1"/>
  <c r="C20" i="102" s="1"/>
  <c r="F7" i="102" l="1"/>
  <c r="G6" i="102"/>
  <c r="F8" i="102" l="1"/>
  <c r="G7" i="102"/>
  <c r="C18" i="102" l="1" a="1"/>
  <c r="C18" i="102" s="1"/>
  <c r="C21" i="102" l="1" a="1"/>
  <c r="C21" i="102" s="1"/>
  <c r="C8" i="102" l="1" a="1"/>
  <c r="C8" i="102" s="1"/>
  <c r="H8" i="102" l="1"/>
  <c r="AL66" i="38"/>
  <c r="C9" i="102" l="1" a="1"/>
  <c r="C9" i="102" s="1"/>
  <c r="DA66" i="38" a="1"/>
  <c r="DA66" i="38" s="1"/>
  <c r="H9" i="90" a="1"/>
  <c r="H9" i="90" s="1"/>
  <c r="H8" i="90" a="1"/>
  <c r="H8" i="90" s="1"/>
  <c r="H27" i="90" a="1"/>
  <c r="H27" i="90" s="1"/>
  <c r="H15" i="90" a="1"/>
  <c r="H15" i="90" s="1"/>
  <c r="H10" i="90" a="1"/>
  <c r="H10" i="90" s="1"/>
  <c r="H22" i="90" a="1"/>
  <c r="H22" i="90" s="1"/>
  <c r="H16" i="90" a="1"/>
  <c r="H16" i="90" s="1"/>
  <c r="H29" i="90" a="1"/>
  <c r="H29" i="90" s="1"/>
  <c r="H30" i="90" a="1"/>
  <c r="H30" i="90" s="1"/>
  <c r="H14" i="90" a="1"/>
  <c r="H14" i="90" s="1"/>
  <c r="H13" i="90" a="1"/>
  <c r="H13" i="90" s="1"/>
  <c r="H28" i="90" a="1"/>
  <c r="H28" i="90" s="1"/>
  <c r="H21" i="90" a="1"/>
  <c r="H21" i="90" s="1"/>
  <c r="H20" i="90" a="1"/>
  <c r="H20" i="90" s="1"/>
  <c r="H17" i="90" a="1"/>
  <c r="H17" i="90" s="1"/>
  <c r="I8" i="102"/>
  <c r="F9" i="102"/>
  <c r="G8" i="102"/>
  <c r="AO66" i="38"/>
  <c r="AN66" i="38" s="1"/>
  <c r="D39" i="45"/>
  <c r="E28" i="45" s="1"/>
  <c r="C10" i="102" a="1"/>
  <c r="C10" i="102" s="1"/>
  <c r="DB66" i="38" l="1" a="1"/>
  <c r="DB66" i="38" s="1"/>
  <c r="I20" i="90" a="1"/>
  <c r="I20" i="90" s="1"/>
  <c r="J20" i="90" s="1"/>
  <c r="I16" i="90" a="1"/>
  <c r="I16" i="90" s="1"/>
  <c r="J16" i="90" s="1"/>
  <c r="I17" i="90" a="1"/>
  <c r="I17" i="90" s="1"/>
  <c r="J17" i="90" s="1"/>
  <c r="I29" i="90" a="1"/>
  <c r="I29" i="90" s="1"/>
  <c r="J29" i="90" s="1"/>
  <c r="I21" i="90" a="1"/>
  <c r="I21" i="90" s="1"/>
  <c r="J21" i="90" s="1"/>
  <c r="I30" i="90" a="1"/>
  <c r="I30" i="90" s="1"/>
  <c r="J30" i="90" s="1"/>
  <c r="I27" i="90" a="1"/>
  <c r="I27" i="90" s="1"/>
  <c r="J27" i="90" s="1"/>
  <c r="I14" i="90" a="1"/>
  <c r="I14" i="90" s="1"/>
  <c r="J14" i="90" s="1"/>
  <c r="I9" i="90" a="1"/>
  <c r="I9" i="90" s="1"/>
  <c r="J9" i="90" s="1"/>
  <c r="I22" i="90" a="1"/>
  <c r="I22" i="90" s="1"/>
  <c r="J22" i="90" s="1"/>
  <c r="I8" i="90" a="1"/>
  <c r="I8" i="90" s="1"/>
  <c r="J8" i="90" s="1"/>
  <c r="I13" i="90" a="1"/>
  <c r="I13" i="90" s="1"/>
  <c r="J13" i="90" s="1"/>
  <c r="I10" i="90" a="1"/>
  <c r="I10" i="90" s="1"/>
  <c r="J10" i="90" s="1"/>
  <c r="I15" i="90" a="1"/>
  <c r="I15" i="90" s="1"/>
  <c r="J15" i="90" s="1"/>
  <c r="I28" i="90" a="1"/>
  <c r="I28" i="90" s="1"/>
  <c r="J28" i="90" s="1"/>
  <c r="H9" i="102"/>
  <c r="I9" i="102" s="1"/>
  <c r="H23" i="102"/>
  <c r="I23" i="102" s="1"/>
  <c r="H22" i="102"/>
  <c r="H10" i="102"/>
  <c r="C11" i="102" a="1"/>
  <c r="C11" i="102" s="1"/>
  <c r="AP66" i="38"/>
  <c r="DC66" i="38" a="1"/>
  <c r="DC66" i="38" s="1"/>
  <c r="F14" i="102" l="1"/>
  <c r="G10" i="102"/>
  <c r="F11" i="102"/>
  <c r="I10" i="102"/>
  <c r="F23" i="102"/>
  <c r="F24" i="102" s="1"/>
  <c r="I22" i="102"/>
  <c r="G9" i="102"/>
  <c r="AX66" i="38"/>
  <c r="AU66" i="38"/>
  <c r="DM66" i="38" a="1"/>
  <c r="DM66" i="38" s="1"/>
  <c r="BM66" i="38"/>
  <c r="DD66" i="38" l="1" a="1"/>
  <c r="DD66" i="38" s="1"/>
  <c r="K14" i="90" a="1"/>
  <c r="K14" i="90" s="1"/>
  <c r="K30" i="90" a="1"/>
  <c r="K30" i="90" s="1"/>
  <c r="K17" i="90" a="1"/>
  <c r="K17" i="90" s="1"/>
  <c r="K29" i="90" a="1"/>
  <c r="K29" i="90" s="1"/>
  <c r="K21" i="90" a="1"/>
  <c r="K21" i="90" s="1"/>
  <c r="K9" i="90" a="1"/>
  <c r="K9" i="90" s="1"/>
  <c r="K10" i="90" a="1"/>
  <c r="K10" i="90" s="1"/>
  <c r="K8" i="90" a="1"/>
  <c r="K8" i="90" s="1"/>
  <c r="K28" i="90" a="1"/>
  <c r="K28" i="90" s="1"/>
  <c r="K15" i="90" a="1"/>
  <c r="K15" i="90" s="1"/>
  <c r="K20" i="90" a="1"/>
  <c r="K20" i="90" s="1"/>
  <c r="K27" i="90" a="1"/>
  <c r="K27" i="90" s="1"/>
  <c r="K13" i="90" a="1"/>
  <c r="K13" i="90" s="1"/>
  <c r="K16" i="90" a="1"/>
  <c r="K16" i="90" s="1"/>
  <c r="K22" i="90" a="1"/>
  <c r="K22" i="90" s="1"/>
  <c r="AY66" i="38"/>
  <c r="DG66" i="38" l="1" a="1"/>
  <c r="DG66" i="38" s="1"/>
  <c r="BA66" i="38"/>
  <c r="DE66" i="38" a="1"/>
  <c r="DE66" i="38" s="1"/>
  <c r="BB66" i="38"/>
  <c r="DH66" i="38" a="1"/>
  <c r="DH66" i="38" s="1"/>
  <c r="DJ66" i="38" a="1"/>
  <c r="DJ66" i="38" s="1"/>
  <c r="BF66" i="38"/>
  <c r="BK66" i="38" l="1"/>
  <c r="DL66" i="38" a="1"/>
  <c r="DL66" i="38" s="1"/>
  <c r="BH66" i="38"/>
  <c r="BO66" i="38"/>
  <c r="BD66" i="38"/>
  <c r="DI66" i="38" a="1"/>
  <c r="DI66" i="38" s="1"/>
  <c r="DN66" i="38" l="1" a="1"/>
  <c r="DN66" i="38" s="1"/>
  <c r="DK66" i="38" a="1"/>
  <c r="DK66" i="38" s="1"/>
  <c r="BR66" i="38" l="1"/>
  <c r="DO66" i="38" l="1" a="1"/>
  <c r="DO66" i="38" s="1"/>
  <c r="DP66" i="38" a="1"/>
  <c r="DP66" i="38" s="1"/>
  <c r="DP7" i="38" s="1"/>
  <c r="D40" i="79" l="1" a="1"/>
  <c r="D40" i="79" s="1"/>
  <c r="E29" i="79" s="1"/>
  <c r="D40" i="45" a="1"/>
  <c r="D40" i="45" s="1"/>
  <c r="E29" i="45" s="1"/>
  <c r="D61" i="45" a="1"/>
  <c r="D61" i="45" s="1"/>
  <c r="D62" i="45" s="1"/>
  <c r="D64" i="45" s="1"/>
  <c r="DU66" i="38" l="1" a="1"/>
  <c r="DU66" i="38" s="1"/>
  <c r="AD13" i="90" a="1"/>
  <c r="AD13" i="90" s="1"/>
  <c r="AD20" i="90" a="1"/>
  <c r="AD20" i="90" s="1"/>
  <c r="AD27" i="90" a="1"/>
  <c r="AD27" i="90" s="1"/>
  <c r="AD16" i="90" a="1"/>
  <c r="AD16" i="90" s="1"/>
  <c r="AD8" i="90" a="1"/>
  <c r="AD8" i="90" s="1"/>
  <c r="AD15" i="90" a="1"/>
  <c r="AD15" i="90" s="1"/>
  <c r="AD9" i="90" a="1"/>
  <c r="AD9" i="90" s="1"/>
  <c r="AD14" i="90" a="1"/>
  <c r="AD14" i="90" s="1"/>
  <c r="AD29" i="90" a="1"/>
  <c r="AD29" i="90" s="1"/>
  <c r="AD30" i="90" a="1"/>
  <c r="AD30" i="90" s="1"/>
  <c r="AD10" i="90" a="1"/>
  <c r="AD10" i="90" s="1"/>
  <c r="AD17" i="90" a="1"/>
  <c r="AD17" i="90" s="1"/>
  <c r="AD22" i="90" a="1"/>
  <c r="AD22" i="90" s="1"/>
  <c r="AD28" i="90" a="1"/>
  <c r="AD28" i="90" s="1"/>
  <c r="AD21" i="90" a="1"/>
  <c r="AD21" i="90" s="1"/>
  <c r="X22" i="90" a="1"/>
  <c r="X22" i="90" s="1"/>
  <c r="C23" i="102" a="1"/>
  <c r="C23" i="102" s="1"/>
  <c r="X15" i="90" a="1"/>
  <c r="X15" i="90" s="1"/>
  <c r="X27" i="90" a="1"/>
  <c r="X27" i="90" s="1"/>
  <c r="X9" i="90" a="1"/>
  <c r="X9" i="90" s="1"/>
  <c r="X28" i="90" a="1"/>
  <c r="X28" i="90" s="1"/>
  <c r="X10" i="90" a="1"/>
  <c r="X10" i="90" s="1"/>
  <c r="X14" i="90" a="1"/>
  <c r="X14" i="90" s="1"/>
  <c r="X16" i="90" a="1"/>
  <c r="X16" i="90" s="1"/>
  <c r="X13" i="90" a="1"/>
  <c r="X13" i="90" s="1"/>
  <c r="X29" i="90" a="1"/>
  <c r="X29" i="90" s="1"/>
  <c r="X20" i="90" a="1"/>
  <c r="X20" i="90" s="1"/>
  <c r="X21" i="90" a="1"/>
  <c r="X21" i="90" s="1"/>
  <c r="X17" i="90" a="1"/>
  <c r="X17" i="90" s="1"/>
  <c r="X30" i="90" a="1"/>
  <c r="X30" i="90" s="1"/>
  <c r="X8" i="90" a="1"/>
  <c r="X8" i="90" s="1"/>
  <c r="DT66" i="38" a="1"/>
  <c r="DT66" i="38" s="1"/>
  <c r="AC28" i="90" a="1"/>
  <c r="AC28" i="90" s="1"/>
  <c r="AC16" i="90" a="1"/>
  <c r="AC16" i="90" s="1"/>
  <c r="AC21" i="90" a="1"/>
  <c r="AC21" i="90" s="1"/>
  <c r="AC15" i="90" a="1"/>
  <c r="AC15" i="90" s="1"/>
  <c r="V27" i="90" a="1"/>
  <c r="V27" i="90" s="1"/>
  <c r="AC8" i="90" a="1"/>
  <c r="AC8" i="90" s="1"/>
  <c r="V8" i="90" a="1"/>
  <c r="V8" i="90" s="1"/>
  <c r="AC22" i="90" a="1"/>
  <c r="AC22" i="90" s="1"/>
  <c r="V30" i="90" a="1"/>
  <c r="V30" i="90" s="1"/>
  <c r="AC27" i="90" a="1"/>
  <c r="AC27" i="90" s="1"/>
  <c r="V22" i="90" a="1"/>
  <c r="V22" i="90" s="1"/>
  <c r="AC13" i="90" a="1"/>
  <c r="AC13" i="90" s="1"/>
  <c r="AC10" i="90" a="1"/>
  <c r="AC10" i="90" s="1"/>
  <c r="V28" i="90" a="1"/>
  <c r="V28" i="90" s="1"/>
  <c r="AC14" i="90" a="1"/>
  <c r="AC14" i="90" s="1"/>
  <c r="V9" i="90" a="1"/>
  <c r="V9" i="90" s="1"/>
  <c r="AC20" i="90" a="1"/>
  <c r="AC20" i="90" s="1"/>
  <c r="V10" i="90" a="1"/>
  <c r="V10" i="90" s="1"/>
  <c r="V15" i="90" a="1"/>
  <c r="V15" i="90" s="1"/>
  <c r="V16" i="90" a="1"/>
  <c r="V16" i="90" s="1"/>
  <c r="V21" i="90" a="1"/>
  <c r="V21" i="90" s="1"/>
  <c r="AC29" i="90" a="1"/>
  <c r="AC29" i="90" s="1"/>
  <c r="V20" i="90" a="1"/>
  <c r="V20" i="90" s="1"/>
  <c r="V29" i="90" a="1"/>
  <c r="V29" i="90" s="1"/>
  <c r="V13" i="90" a="1"/>
  <c r="V13" i="90" s="1"/>
  <c r="AC9" i="90" a="1"/>
  <c r="AC9" i="90" s="1"/>
  <c r="AC30" i="90" a="1"/>
  <c r="AC30" i="90" s="1"/>
  <c r="V17" i="90" a="1"/>
  <c r="V17" i="90" s="1"/>
  <c r="AC17" i="90" a="1"/>
  <c r="AC17" i="90" s="1"/>
  <c r="V14" i="90" a="1"/>
  <c r="V14" i="90" s="1"/>
  <c r="W16" i="90" a="1"/>
  <c r="W16" i="90" s="1"/>
  <c r="W13" i="90" a="1"/>
  <c r="W13" i="90" s="1"/>
  <c r="W29" i="90" a="1"/>
  <c r="W29" i="90" s="1"/>
  <c r="W17" i="90" a="1"/>
  <c r="W17" i="90" s="1"/>
  <c r="W22" i="90" a="1"/>
  <c r="W22" i="90" s="1"/>
  <c r="W10" i="90" a="1"/>
  <c r="W10" i="90" s="1"/>
  <c r="W9" i="90" a="1"/>
  <c r="W9" i="90" s="1"/>
  <c r="W15" i="90" a="1"/>
  <c r="W15" i="90" s="1"/>
  <c r="W14" i="90" a="1"/>
  <c r="W14" i="90" s="1"/>
  <c r="W27" i="90" a="1"/>
  <c r="W27" i="90" s="1"/>
  <c r="W28" i="90" a="1"/>
  <c r="W28" i="90" s="1"/>
  <c r="W8" i="90" a="1"/>
  <c r="W8" i="90" s="1"/>
  <c r="W21" i="90" a="1"/>
  <c r="W21" i="90" s="1"/>
  <c r="W30" i="90" a="1"/>
  <c r="W30" i="90" s="1"/>
  <c r="W20" i="90" a="1"/>
  <c r="W20" i="90" s="1"/>
  <c r="EA66" i="38" a="1"/>
  <c r="EA66" i="38" s="1"/>
  <c r="AJ15" i="90" a="1"/>
  <c r="AJ15" i="90" s="1"/>
  <c r="AJ8" i="90" a="1"/>
  <c r="AJ8" i="90" s="1"/>
  <c r="AJ10" i="90" a="1"/>
  <c r="AJ10" i="90" s="1"/>
  <c r="AJ30" i="90" a="1"/>
  <c r="AJ30" i="90" s="1"/>
  <c r="AJ22" i="90" a="1"/>
  <c r="AJ22" i="90" s="1"/>
  <c r="AJ20" i="90" a="1"/>
  <c r="AJ20" i="90" s="1"/>
  <c r="AJ16" i="90" a="1"/>
  <c r="AJ16" i="90" s="1"/>
  <c r="AJ28" i="90" a="1"/>
  <c r="AJ28" i="90" s="1"/>
  <c r="AJ14" i="90" a="1"/>
  <c r="AJ14" i="90" s="1"/>
  <c r="AJ17" i="90" a="1"/>
  <c r="AJ17" i="90" s="1"/>
  <c r="AJ13" i="90" a="1"/>
  <c r="AJ13" i="90" s="1"/>
  <c r="AJ29" i="90" a="1"/>
  <c r="AJ29" i="90" s="1"/>
  <c r="AJ21" i="90" a="1"/>
  <c r="AJ21" i="90" s="1"/>
  <c r="AJ27" i="90" a="1"/>
  <c r="AJ27" i="90" s="1"/>
  <c r="AJ9" i="90" a="1"/>
  <c r="AJ9" i="90" s="1"/>
  <c r="DY66" i="38" a="1"/>
  <c r="DY66" i="38" s="1"/>
  <c r="AH27" i="90" a="1"/>
  <c r="AH27" i="90" s="1"/>
  <c r="AH22" i="90" a="1"/>
  <c r="AH22" i="90" s="1"/>
  <c r="AH16" i="90" a="1"/>
  <c r="AH16" i="90" s="1"/>
  <c r="AH8" i="90" a="1"/>
  <c r="AH8" i="90" s="1"/>
  <c r="AH29" i="90" a="1"/>
  <c r="AH29" i="90" s="1"/>
  <c r="AH28" i="90" a="1"/>
  <c r="AH28" i="90" s="1"/>
  <c r="AH30" i="90" a="1"/>
  <c r="AH30" i="90" s="1"/>
  <c r="AH10" i="90" a="1"/>
  <c r="AH10" i="90" s="1"/>
  <c r="AH14" i="90" a="1"/>
  <c r="AH14" i="90" s="1"/>
  <c r="AH15" i="90" a="1"/>
  <c r="AH15" i="90" s="1"/>
  <c r="AH13" i="90" a="1"/>
  <c r="AH13" i="90" s="1"/>
  <c r="AH21" i="90" a="1"/>
  <c r="AH21" i="90" s="1"/>
  <c r="AH17" i="90" a="1"/>
  <c r="AH17" i="90" s="1"/>
  <c r="AH9" i="90" a="1"/>
  <c r="AH9" i="90" s="1"/>
  <c r="AH20" i="90" a="1"/>
  <c r="AH20" i="90" s="1"/>
  <c r="DZ66" i="38" a="1"/>
  <c r="DZ66" i="38" s="1"/>
  <c r="AI28" i="90" a="1"/>
  <c r="AI28" i="90" s="1"/>
  <c r="AI16" i="90" a="1"/>
  <c r="AI16" i="90" s="1"/>
  <c r="AI9" i="90" a="1"/>
  <c r="AI9" i="90" s="1"/>
  <c r="AI13" i="90" a="1"/>
  <c r="AI13" i="90" s="1"/>
  <c r="AI14" i="90" a="1"/>
  <c r="AI14" i="90" s="1"/>
  <c r="AI17" i="90" a="1"/>
  <c r="AI17" i="90" s="1"/>
  <c r="AI10" i="90" a="1"/>
  <c r="AI10" i="90" s="1"/>
  <c r="AI20" i="90" a="1"/>
  <c r="AI20" i="90" s="1"/>
  <c r="AI15" i="90" a="1"/>
  <c r="AI15" i="90" s="1"/>
  <c r="AI30" i="90" a="1"/>
  <c r="AI30" i="90" s="1"/>
  <c r="AI27" i="90" a="1"/>
  <c r="AI27" i="90" s="1"/>
  <c r="AI8" i="90" a="1"/>
  <c r="AI8" i="90" s="1"/>
  <c r="AI22" i="90" a="1"/>
  <c r="AI22" i="90" s="1"/>
  <c r="AI21" i="90" a="1"/>
  <c r="AI21" i="90" s="1"/>
  <c r="AI29" i="90" a="1"/>
  <c r="AI29" i="90" s="1"/>
  <c r="DW66" i="38" a="1"/>
  <c r="DW66" i="38" s="1"/>
  <c r="AF27" i="90" a="1"/>
  <c r="AF27" i="90" s="1"/>
  <c r="AF22" i="90" a="1"/>
  <c r="AF22" i="90" s="1"/>
  <c r="AF14" i="90" a="1"/>
  <c r="AF14" i="90" s="1"/>
  <c r="AF10" i="90" a="1"/>
  <c r="AF10" i="90" s="1"/>
  <c r="AF30" i="90" a="1"/>
  <c r="AF30" i="90" s="1"/>
  <c r="AF28" i="90" a="1"/>
  <c r="AF28" i="90" s="1"/>
  <c r="AF8" i="90" a="1"/>
  <c r="AF8" i="90" s="1"/>
  <c r="AF13" i="90" a="1"/>
  <c r="AF13" i="90" s="1"/>
  <c r="AF20" i="90" a="1"/>
  <c r="AF20" i="90" s="1"/>
  <c r="AF17" i="90" a="1"/>
  <c r="AF17" i="90" s="1"/>
  <c r="AF15" i="90" a="1"/>
  <c r="AF15" i="90" s="1"/>
  <c r="AF21" i="90" a="1"/>
  <c r="AF21" i="90" s="1"/>
  <c r="AF9" i="90" a="1"/>
  <c r="AF9" i="90" s="1"/>
  <c r="AF16" i="90" a="1"/>
  <c r="AF16" i="90" s="1"/>
  <c r="AF29" i="90" a="1"/>
  <c r="AF29" i="90" s="1"/>
  <c r="DS66" i="38" a="1"/>
  <c r="DS66" i="38" s="1"/>
  <c r="S27" i="90" a="1"/>
  <c r="S27" i="90" s="1"/>
  <c r="S17" i="90" a="1"/>
  <c r="S17" i="90" s="1"/>
  <c r="S15" i="90" a="1"/>
  <c r="S15" i="90" s="1"/>
  <c r="S21" i="90" a="1"/>
  <c r="S21" i="90" s="1"/>
  <c r="AB20" i="90" a="1"/>
  <c r="AB20" i="90" s="1"/>
  <c r="S30" i="90" a="1"/>
  <c r="S30" i="90" s="1"/>
  <c r="S22" i="90" a="1"/>
  <c r="S22" i="90" s="1"/>
  <c r="AB28" i="90" a="1"/>
  <c r="AB28" i="90" s="1"/>
  <c r="AB27" i="90" a="1"/>
  <c r="AB27" i="90" s="1"/>
  <c r="S9" i="90" a="1"/>
  <c r="S9" i="90" s="1"/>
  <c r="AB29" i="90" a="1"/>
  <c r="AB29" i="90" s="1"/>
  <c r="S16" i="90" a="1"/>
  <c r="S16" i="90" s="1"/>
  <c r="AB15" i="90" a="1"/>
  <c r="AB15" i="90" s="1"/>
  <c r="AB16" i="90" a="1"/>
  <c r="AB16" i="90" s="1"/>
  <c r="AB8" i="90" a="1"/>
  <c r="AB8" i="90" s="1"/>
  <c r="S29" i="90" a="1"/>
  <c r="S29" i="90" s="1"/>
  <c r="S28" i="90" a="1"/>
  <c r="S28" i="90" s="1"/>
  <c r="AB17" i="90" a="1"/>
  <c r="AB17" i="90" s="1"/>
  <c r="S10" i="90" a="1"/>
  <c r="S10" i="90" s="1"/>
  <c r="AB14" i="90" a="1"/>
  <c r="AB14" i="90" s="1"/>
  <c r="S13" i="90" a="1"/>
  <c r="S13" i="90" s="1"/>
  <c r="AB13" i="90" a="1"/>
  <c r="AB13" i="90" s="1"/>
  <c r="S8" i="90" a="1"/>
  <c r="S8" i="90" s="1"/>
  <c r="AB22" i="90" a="1"/>
  <c r="AB22" i="90" s="1"/>
  <c r="AB30" i="90" a="1"/>
  <c r="AB30" i="90" s="1"/>
  <c r="S14" i="90" a="1"/>
  <c r="S14" i="90" s="1"/>
  <c r="S20" i="90" a="1"/>
  <c r="S20" i="90" s="1"/>
  <c r="AB21" i="90" a="1"/>
  <c r="AB21" i="90" s="1"/>
  <c r="AB9" i="90" a="1"/>
  <c r="AB9" i="90" s="1"/>
  <c r="AB10" i="90" a="1"/>
  <c r="AB10" i="90" s="1"/>
  <c r="T30" i="90" a="1"/>
  <c r="T30" i="90" s="1"/>
  <c r="T9" i="90" a="1"/>
  <c r="T9" i="90" s="1"/>
  <c r="T27" i="90" a="1"/>
  <c r="T27" i="90" s="1"/>
  <c r="C19" i="102" a="1"/>
  <c r="C19" i="102" s="1"/>
  <c r="T22" i="90" a="1"/>
  <c r="T22" i="90" s="1"/>
  <c r="T15" i="90" a="1"/>
  <c r="T15" i="90" s="1"/>
  <c r="T20" i="90" a="1"/>
  <c r="T20" i="90" s="1"/>
  <c r="T17" i="90" a="1"/>
  <c r="T17" i="90" s="1"/>
  <c r="T21" i="90" a="1"/>
  <c r="T21" i="90" s="1"/>
  <c r="T14" i="90" a="1"/>
  <c r="T14" i="90" s="1"/>
  <c r="T10" i="90" a="1"/>
  <c r="T10" i="90" s="1"/>
  <c r="T28" i="90" a="1"/>
  <c r="T28" i="90" s="1"/>
  <c r="T13" i="90" a="1"/>
  <c r="T13" i="90" s="1"/>
  <c r="T16" i="90" a="1"/>
  <c r="T16" i="90" s="1"/>
  <c r="T29" i="90" a="1"/>
  <c r="T29" i="90" s="1"/>
  <c r="T8" i="90" a="1"/>
  <c r="T8" i="90" s="1"/>
  <c r="DR66" i="38" l="1" a="1"/>
  <c r="DR66" i="38" s="1"/>
  <c r="AA21" i="90" a="1"/>
  <c r="AA21" i="90" s="1"/>
  <c r="AA28" i="90" a="1"/>
  <c r="AA28" i="90" s="1"/>
  <c r="AA22" i="90" a="1"/>
  <c r="AA22" i="90" s="1"/>
  <c r="AA20" i="90" a="1"/>
  <c r="AA20" i="90" s="1"/>
  <c r="AA16" i="90" a="1"/>
  <c r="AA16" i="90" s="1"/>
  <c r="AA15" i="90" a="1"/>
  <c r="AA15" i="90" s="1"/>
  <c r="AA29" i="90" a="1"/>
  <c r="AA29" i="90" s="1"/>
  <c r="AA9" i="90" a="1"/>
  <c r="AA9" i="90" s="1"/>
  <c r="AA17" i="90" a="1"/>
  <c r="AA17" i="90" s="1"/>
  <c r="AA27" i="90" a="1"/>
  <c r="AA27" i="90" s="1"/>
  <c r="AA8" i="90" a="1"/>
  <c r="AA8" i="90" s="1"/>
  <c r="AA10" i="90" a="1"/>
  <c r="AA10" i="90" s="1"/>
  <c r="AA13" i="90" a="1"/>
  <c r="AA13" i="90" s="1"/>
  <c r="AA30" i="90" a="1"/>
  <c r="AA30" i="90" s="1"/>
  <c r="AA14" i="90" a="1"/>
  <c r="AA14" i="90" s="1"/>
  <c r="DQ66" i="38" a="1"/>
  <c r="DQ66" i="38" s="1"/>
  <c r="Z30" i="90" a="1"/>
  <c r="Z30" i="90" s="1"/>
  <c r="Z14" i="90" a="1"/>
  <c r="Z14" i="90" s="1"/>
  <c r="Z8" i="90" a="1"/>
  <c r="Z8" i="90" s="1"/>
  <c r="Z13" i="90" a="1"/>
  <c r="Z13" i="90" s="1"/>
  <c r="Z10" i="90" a="1"/>
  <c r="Z10" i="90" s="1"/>
  <c r="Z29" i="90" a="1"/>
  <c r="Z29" i="90" s="1"/>
  <c r="Z21" i="90" a="1"/>
  <c r="Z21" i="90" s="1"/>
  <c r="AE21" i="90" s="1"/>
  <c r="Z22" i="90" a="1"/>
  <c r="Z22" i="90" s="1"/>
  <c r="Z15" i="90" a="1"/>
  <c r="Z15" i="90" s="1"/>
  <c r="Z16" i="90" a="1"/>
  <c r="Z16" i="90" s="1"/>
  <c r="Z9" i="90" a="1"/>
  <c r="Z9" i="90" s="1"/>
  <c r="Z20" i="90" a="1"/>
  <c r="Z20" i="90" s="1"/>
  <c r="AE20" i="90" s="1"/>
  <c r="Z17" i="90" a="1"/>
  <c r="Z17" i="90" s="1"/>
  <c r="Z27" i="90" a="1"/>
  <c r="Z27" i="90" s="1"/>
  <c r="Z28" i="90" a="1"/>
  <c r="Z28" i="90" s="1"/>
  <c r="N13" i="90" a="1"/>
  <c r="N13" i="90" s="1"/>
  <c r="N9" i="90" a="1"/>
  <c r="N9" i="90" s="1"/>
  <c r="N16" i="90" a="1"/>
  <c r="N16" i="90" s="1"/>
  <c r="N28" i="90" a="1"/>
  <c r="N28" i="90" s="1"/>
  <c r="N21" i="90" a="1"/>
  <c r="N21" i="90" s="1"/>
  <c r="N30" i="90" a="1"/>
  <c r="N30" i="90" s="1"/>
  <c r="N20" i="90" a="1"/>
  <c r="N20" i="90" s="1"/>
  <c r="N29" i="90" a="1"/>
  <c r="N29" i="90" s="1"/>
  <c r="N17" i="90" a="1"/>
  <c r="N17" i="90" s="1"/>
  <c r="N15" i="90" a="1"/>
  <c r="N15" i="90" s="1"/>
  <c r="N27" i="90" a="1"/>
  <c r="N27" i="90" s="1"/>
  <c r="N22" i="90" a="1"/>
  <c r="N22" i="90" s="1"/>
  <c r="N14" i="90" a="1"/>
  <c r="N14" i="90" s="1"/>
  <c r="N8" i="90" a="1"/>
  <c r="N8" i="90" s="1"/>
  <c r="N10" i="90" a="1"/>
  <c r="N10" i="90" s="1"/>
  <c r="L27" i="90" a="1"/>
  <c r="L27" i="90" s="1"/>
  <c r="M27" i="90" s="1"/>
  <c r="L17" i="90" a="1"/>
  <c r="L17" i="90" s="1"/>
  <c r="M17" i="90" s="1"/>
  <c r="L21" i="90" a="1"/>
  <c r="L21" i="90" s="1"/>
  <c r="M21" i="90" s="1"/>
  <c r="L9" i="90" a="1"/>
  <c r="L9" i="90" s="1"/>
  <c r="M9" i="90" s="1"/>
  <c r="L29" i="90" a="1"/>
  <c r="L29" i="90" s="1"/>
  <c r="M29" i="90" s="1"/>
  <c r="L20" i="90" a="1"/>
  <c r="L20" i="90" s="1"/>
  <c r="M20" i="90" s="1"/>
  <c r="L14" i="90" a="1"/>
  <c r="L14" i="90" s="1"/>
  <c r="M14" i="90" s="1"/>
  <c r="L15" i="90" a="1"/>
  <c r="L15" i="90" s="1"/>
  <c r="M15" i="90" s="1"/>
  <c r="L30" i="90" a="1"/>
  <c r="L30" i="90" s="1"/>
  <c r="M30" i="90" s="1"/>
  <c r="L22" i="90" a="1"/>
  <c r="L22" i="90" s="1"/>
  <c r="M22" i="90" s="1"/>
  <c r="L8" i="90" a="1"/>
  <c r="L8" i="90" s="1"/>
  <c r="M8" i="90" s="1"/>
  <c r="L16" i="90" a="1"/>
  <c r="L16" i="90" s="1"/>
  <c r="M16" i="90" s="1"/>
  <c r="L28" i="90" a="1"/>
  <c r="L28" i="90" s="1"/>
  <c r="M28" i="90" s="1"/>
  <c r="L10" i="90" a="1"/>
  <c r="L10" i="90" s="1"/>
  <c r="M10" i="90" s="1"/>
  <c r="L13" i="90" a="1"/>
  <c r="L13" i="90" s="1"/>
  <c r="M13" i="90" s="1"/>
  <c r="C12" i="102" a="1"/>
  <c r="C12" i="102" s="1"/>
  <c r="H28" i="102"/>
  <c r="I28" i="102" s="1"/>
  <c r="H18" i="102"/>
  <c r="I18" i="102" s="1"/>
  <c r="H36" i="102"/>
  <c r="I36" i="102" s="1"/>
  <c r="H26" i="102"/>
  <c r="I26" i="102" s="1"/>
  <c r="H16" i="102"/>
  <c r="I16" i="102" s="1"/>
  <c r="AE17" i="90" l="1"/>
  <c r="AE9" i="90"/>
  <c r="AE22" i="90"/>
  <c r="AE16" i="90"/>
  <c r="AE10" i="90"/>
  <c r="AE13" i="90"/>
  <c r="AE8" i="90"/>
  <c r="DV66" i="38"/>
  <c r="DV7" i="38" s="1"/>
  <c r="AE29" i="90"/>
  <c r="AE14" i="90"/>
  <c r="AE15" i="90"/>
  <c r="AE30" i="90"/>
  <c r="C22" i="102" a="1"/>
  <c r="C22" i="102" s="1"/>
  <c r="H11" i="102"/>
  <c r="C13" i="102" a="1"/>
  <c r="C13" i="102" s="1"/>
  <c r="H12" i="102" s="1"/>
  <c r="I12" i="102" s="1"/>
  <c r="DX66" i="38" l="1" a="1"/>
  <c r="DX66" i="38" s="1"/>
  <c r="EB66" i="38" s="1"/>
  <c r="EB7" i="38" s="1"/>
  <c r="AG9" i="90" a="1"/>
  <c r="AG9" i="90" s="1"/>
  <c r="AG22" i="90" a="1"/>
  <c r="AG22" i="90" s="1"/>
  <c r="AG15" i="90" a="1"/>
  <c r="AG15" i="90" s="1"/>
  <c r="AG8" i="90" a="1"/>
  <c r="AG8" i="90" s="1"/>
  <c r="AG29" i="90" a="1"/>
  <c r="AG29" i="90" s="1"/>
  <c r="AG10" i="90" a="1"/>
  <c r="AG10" i="90" s="1"/>
  <c r="AG27" i="90" a="1"/>
  <c r="AG27" i="90" s="1"/>
  <c r="AG28" i="90" a="1"/>
  <c r="AG28" i="90" s="1"/>
  <c r="AG17" i="90" a="1"/>
  <c r="AG17" i="90" s="1"/>
  <c r="AG21" i="90" a="1"/>
  <c r="AG21" i="90" s="1"/>
  <c r="AG30" i="90" a="1"/>
  <c r="AG30" i="90" s="1"/>
  <c r="AG16" i="90" a="1"/>
  <c r="AG16" i="90" s="1"/>
  <c r="AG20" i="90" a="1"/>
  <c r="AG20" i="90" s="1"/>
  <c r="AG13" i="90" a="1"/>
  <c r="AG13" i="90" s="1"/>
  <c r="AG14" i="90" a="1"/>
  <c r="AG14" i="90" s="1"/>
  <c r="O9" i="90" a="1"/>
  <c r="O9" i="90" s="1"/>
  <c r="P9" i="90" s="1"/>
  <c r="Q9" i="90" s="1"/>
  <c r="Y9" i="90" s="1"/>
  <c r="O20" i="90" a="1"/>
  <c r="O20" i="90" s="1"/>
  <c r="P20" i="90" s="1"/>
  <c r="Q20" i="90" s="1"/>
  <c r="Y20" i="90" s="1"/>
  <c r="O17" i="90" a="1"/>
  <c r="O17" i="90" s="1"/>
  <c r="P17" i="90" s="1"/>
  <c r="Q17" i="90" s="1"/>
  <c r="Y17" i="90" s="1"/>
  <c r="O21" i="90" a="1"/>
  <c r="O21" i="90" s="1"/>
  <c r="P21" i="90" s="1"/>
  <c r="Q21" i="90" s="1"/>
  <c r="Y21" i="90" s="1"/>
  <c r="O22" i="90" a="1"/>
  <c r="O22" i="90" s="1"/>
  <c r="P22" i="90" s="1"/>
  <c r="Q22" i="90" s="1"/>
  <c r="Y22" i="90" s="1"/>
  <c r="O27" i="90" a="1"/>
  <c r="O27" i="90" s="1"/>
  <c r="P27" i="90" s="1"/>
  <c r="Q27" i="90" s="1"/>
  <c r="Y27" i="90" s="1"/>
  <c r="AE27" i="90" s="1"/>
  <c r="O29" i="90" a="1"/>
  <c r="O29" i="90" s="1"/>
  <c r="P29" i="90" s="1"/>
  <c r="Q29" i="90" s="1"/>
  <c r="Y29" i="90" s="1"/>
  <c r="O30" i="90" a="1"/>
  <c r="O30" i="90" s="1"/>
  <c r="P30" i="90" s="1"/>
  <c r="Q30" i="90" s="1"/>
  <c r="Y30" i="90" s="1"/>
  <c r="O8" i="90" a="1"/>
  <c r="O8" i="90" s="1"/>
  <c r="P8" i="90" s="1"/>
  <c r="Q8" i="90" s="1"/>
  <c r="Y8" i="90" s="1"/>
  <c r="O28" i="90" a="1"/>
  <c r="O28" i="90" s="1"/>
  <c r="P28" i="90" s="1"/>
  <c r="Q28" i="90" s="1"/>
  <c r="Y28" i="90" s="1"/>
  <c r="AE28" i="90" s="1"/>
  <c r="O14" i="90" a="1"/>
  <c r="O14" i="90" s="1"/>
  <c r="P14" i="90" s="1"/>
  <c r="Q14" i="90" s="1"/>
  <c r="Y14" i="90" s="1"/>
  <c r="O10" i="90" a="1"/>
  <c r="O10" i="90" s="1"/>
  <c r="P10" i="90" s="1"/>
  <c r="Q10" i="90" s="1"/>
  <c r="Y10" i="90" s="1"/>
  <c r="O16" i="90" a="1"/>
  <c r="O16" i="90" s="1"/>
  <c r="P16" i="90" s="1"/>
  <c r="Q16" i="90" s="1"/>
  <c r="Y16" i="90" s="1"/>
  <c r="C14" i="102" a="1"/>
  <c r="C14" i="102" s="1"/>
  <c r="H13" i="102" s="1"/>
  <c r="I13" i="102" s="1"/>
  <c r="O13" i="90" a="1"/>
  <c r="O13" i="90" s="1"/>
  <c r="P13" i="90" s="1"/>
  <c r="Q13" i="90" s="1"/>
  <c r="Y13" i="90" s="1"/>
  <c r="O15" i="90" a="1"/>
  <c r="O15" i="90" s="1"/>
  <c r="P15" i="90" s="1"/>
  <c r="Q15" i="90" s="1"/>
  <c r="Y15" i="90" s="1"/>
  <c r="I11" i="102"/>
  <c r="F12" i="102"/>
  <c r="G11" i="102"/>
  <c r="H17" i="102"/>
  <c r="I17" i="102" s="1"/>
  <c r="H27" i="102"/>
  <c r="I27" i="102" s="1"/>
  <c r="H35" i="102"/>
  <c r="AK16" i="90" l="1"/>
  <c r="AL16" i="90" s="1"/>
  <c r="AK17" i="90"/>
  <c r="AL17" i="90" s="1"/>
  <c r="AK15" i="90"/>
  <c r="AL15" i="90" s="1"/>
  <c r="AK13" i="90"/>
  <c r="AL13" i="90" s="1"/>
  <c r="AK14" i="90"/>
  <c r="AL14" i="90" s="1"/>
  <c r="AK21" i="90"/>
  <c r="AL21" i="90" s="1"/>
  <c r="AK22" i="90"/>
  <c r="AL22" i="90" s="1"/>
  <c r="AK20" i="90"/>
  <c r="AL20" i="90" s="1"/>
  <c r="AK9" i="90"/>
  <c r="AL9" i="90" s="1"/>
  <c r="AK10" i="90"/>
  <c r="AL10" i="90" s="1"/>
  <c r="AK8" i="90"/>
  <c r="AL8" i="90" s="1"/>
  <c r="F36" i="102"/>
  <c r="H37" i="102"/>
  <c r="I37" i="102" s="1"/>
  <c r="I35" i="102"/>
  <c r="F13" i="102"/>
  <c r="G13" i="102" s="1"/>
  <c r="G12" i="102"/>
  <c r="AK30" i="90"/>
  <c r="AL30" i="90" s="1"/>
  <c r="AK27" i="90"/>
  <c r="AL27" i="90" s="1"/>
  <c r="AK28" i="90"/>
  <c r="AL28" i="90" s="1"/>
  <c r="AK29" i="90"/>
  <c r="AL29" i="90" s="1"/>
  <c r="C15" i="102"/>
  <c r="H14" i="102" l="1"/>
  <c r="H24" i="102"/>
  <c r="C16" i="102"/>
  <c r="BW66" i="38"/>
  <c r="C7" i="38" s="1"/>
  <c r="C24" i="102" l="1"/>
  <c r="H15" i="102"/>
  <c r="I24" i="102"/>
  <c r="H25" i="102"/>
  <c r="I14" i="102"/>
  <c r="G14" i="102"/>
  <c r="I25" i="102" l="1"/>
  <c r="F26" i="102"/>
  <c r="F27" i="102" s="1"/>
  <c r="F28" i="102" s="1"/>
  <c r="H29" i="102"/>
  <c r="I29" i="102" s="1"/>
  <c r="F16" i="102"/>
  <c r="I15" i="102"/>
  <c r="G15" i="102"/>
  <c r="H19" i="102"/>
  <c r="G19" i="102" l="1"/>
  <c r="I19" i="102"/>
  <c r="F17" i="102"/>
  <c r="G16" i="102"/>
  <c r="F18" i="102" l="1"/>
  <c r="G18" i="102" s="1"/>
  <c r="G17" i="10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AJ4" authorId="0" shapeId="0" xr:uid="{93D77A32-CA84-46DD-8891-D96ED90F3FB8}">
      <text>
        <r>
          <rPr>
            <sz val="9"/>
            <color indexed="81"/>
            <rFont val="Segoe UI"/>
            <family val="2"/>
          </rPr>
          <t>Scrap 
before this production step</t>
        </r>
      </text>
    </comment>
    <comment ref="AW4" authorId="0" shapeId="0" xr:uid="{C94930A4-D701-4AFA-BCAB-0D22D6746C9F}">
      <text>
        <r>
          <rPr>
            <sz val="9"/>
            <color indexed="81"/>
            <rFont val="Segoe UI"/>
            <family val="2"/>
          </rPr>
          <t>Scrap 
before this production step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R5" authorId="0" shapeId="0" xr:uid="{C93A7126-1A68-4F7C-A1D4-526974F747D6}">
      <text>
        <r>
          <rPr>
            <sz val="9"/>
            <color indexed="81"/>
            <rFont val="Segoe UI"/>
            <family val="2"/>
          </rPr>
          <t>Jun 21 - Nov 21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M2" authorId="0" shapeId="0" xr:uid="{E5A9E786-963C-42BD-9108-CD70DCD15B4A}">
      <text>
        <r>
          <rPr>
            <b/>
            <sz val="9"/>
            <color indexed="81"/>
            <rFont val="Segoe UI"/>
            <family val="2"/>
          </rPr>
          <t>Jaufmann, Martin:</t>
        </r>
        <r>
          <rPr>
            <sz val="9"/>
            <color indexed="81"/>
            <rFont val="Segoe UI"/>
            <family val="2"/>
          </rPr>
          <t xml:space="preserve">
see Shortlist</t>
        </r>
      </text>
    </comment>
    <comment ref="H3" authorId="0" shapeId="0" xr:uid="{2BBF46E9-1016-4C59-9811-CD819B7B9F14}">
      <text>
        <r>
          <rPr>
            <b/>
            <sz val="9"/>
            <color indexed="81"/>
            <rFont val="Segoe UI"/>
            <family val="2"/>
          </rPr>
          <t>Jaufmann, Martin:</t>
        </r>
        <r>
          <rPr>
            <sz val="9"/>
            <color indexed="81"/>
            <rFont val="Segoe UI"/>
            <family val="2"/>
          </rPr>
          <t xml:space="preserve">
mit Prämissenblatt verknüpfen</t>
        </r>
      </text>
    </comment>
    <comment ref="O3" authorId="0" shapeId="0" xr:uid="{28C85770-2C12-4353-96D4-C9BEE306BC94}">
      <text>
        <r>
          <rPr>
            <sz val="9"/>
            <color indexed="81"/>
            <rFont val="Segoe UI"/>
            <family val="2"/>
          </rPr>
          <t>solder pad = approx. 1x1x0,2mm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M2" authorId="0" shapeId="0" xr:uid="{44BA6C7C-CEA3-42F4-8A0A-88D4D75E05A9}">
      <text>
        <r>
          <rPr>
            <b/>
            <sz val="9"/>
            <color indexed="81"/>
            <rFont val="Segoe UI"/>
            <family val="2"/>
          </rPr>
          <t>Jaufmann, Martin:</t>
        </r>
        <r>
          <rPr>
            <sz val="9"/>
            <color indexed="81"/>
            <rFont val="Segoe UI"/>
            <family val="2"/>
          </rPr>
          <t xml:space="preserve">
see Shortlist</t>
        </r>
      </text>
    </comment>
    <comment ref="H3" authorId="0" shapeId="0" xr:uid="{A92239F0-E2B2-4A0F-B416-63A00D516544}">
      <text>
        <r>
          <rPr>
            <b/>
            <sz val="9"/>
            <color indexed="81"/>
            <rFont val="Segoe UI"/>
            <family val="2"/>
          </rPr>
          <t>Jaufmann, Martin:</t>
        </r>
        <r>
          <rPr>
            <sz val="9"/>
            <color indexed="81"/>
            <rFont val="Segoe UI"/>
            <family val="2"/>
          </rPr>
          <t xml:space="preserve">
mit Prämissenblatt verknüpfen</t>
        </r>
      </text>
    </comment>
    <comment ref="O3" authorId="0" shapeId="0" xr:uid="{987C44C8-E779-4D0C-8D27-FBD1704A3F34}">
      <text>
        <r>
          <rPr>
            <sz val="9"/>
            <color indexed="81"/>
            <rFont val="Segoe UI"/>
            <family val="2"/>
          </rPr>
          <t>solder pad = approx. 1x1x0,2mm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M2" authorId="0" shapeId="0" xr:uid="{C4953431-E8E1-4481-823E-FE374CC4D405}">
      <text>
        <r>
          <rPr>
            <b/>
            <sz val="9"/>
            <color indexed="81"/>
            <rFont val="Segoe UI"/>
            <family val="2"/>
          </rPr>
          <t>Jaufmann, Martin:</t>
        </r>
        <r>
          <rPr>
            <sz val="9"/>
            <color indexed="81"/>
            <rFont val="Segoe UI"/>
            <family val="2"/>
          </rPr>
          <t xml:space="preserve">
see Shortlist</t>
        </r>
      </text>
    </comment>
    <comment ref="H3" authorId="0" shapeId="0" xr:uid="{8E3C984C-3C99-488A-8567-0144F39179E6}">
      <text>
        <r>
          <rPr>
            <b/>
            <sz val="9"/>
            <color indexed="81"/>
            <rFont val="Segoe UI"/>
            <family val="2"/>
          </rPr>
          <t>Jaufmann, Martin:</t>
        </r>
        <r>
          <rPr>
            <sz val="9"/>
            <color indexed="81"/>
            <rFont val="Segoe UI"/>
            <family val="2"/>
          </rPr>
          <t xml:space="preserve">
mit Prämissenblatt verknüpfen</t>
        </r>
      </text>
    </comment>
    <comment ref="O3" authorId="0" shapeId="0" xr:uid="{74D93210-8987-4300-A5EF-09B15D8E2BCE}">
      <text>
        <r>
          <rPr>
            <sz val="9"/>
            <color indexed="81"/>
            <rFont val="Segoe UI"/>
            <family val="2"/>
          </rPr>
          <t>solder pad = approx. 1x1x0,2mm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M2" authorId="0" shapeId="0" xr:uid="{D0F24F06-675A-43AF-99CF-D3693117CCAE}">
      <text>
        <r>
          <rPr>
            <b/>
            <sz val="9"/>
            <color indexed="81"/>
            <rFont val="Segoe UI"/>
            <family val="2"/>
          </rPr>
          <t>Jaufmann, Martin:</t>
        </r>
        <r>
          <rPr>
            <sz val="9"/>
            <color indexed="81"/>
            <rFont val="Segoe UI"/>
            <family val="2"/>
          </rPr>
          <t xml:space="preserve">
see Shortlist</t>
        </r>
      </text>
    </comment>
    <comment ref="H3" authorId="0" shapeId="0" xr:uid="{FAC4E805-7508-4829-8E0B-4A94B51A644A}">
      <text>
        <r>
          <rPr>
            <b/>
            <sz val="9"/>
            <color indexed="81"/>
            <rFont val="Segoe UI"/>
            <family val="2"/>
          </rPr>
          <t>Jaufmann, Martin:</t>
        </r>
        <r>
          <rPr>
            <sz val="9"/>
            <color indexed="81"/>
            <rFont val="Segoe UI"/>
            <family val="2"/>
          </rPr>
          <t xml:space="preserve">
mit Prämissenblatt verknüpfen</t>
        </r>
      </text>
    </comment>
    <comment ref="O3" authorId="0" shapeId="0" xr:uid="{06591BA0-05AD-43A4-B448-1167D024FCDD}">
      <text>
        <r>
          <rPr>
            <sz val="9"/>
            <color indexed="81"/>
            <rFont val="Segoe UI"/>
            <family val="2"/>
          </rPr>
          <t>solder pad = approx. 1x1x0,2mm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AG5" authorId="0" shapeId="0" xr:uid="{DBF5321F-0F5F-41E8-956E-768C45517260}">
      <text>
        <r>
          <rPr>
            <sz val="9"/>
            <color indexed="81"/>
            <rFont val="Segoe UI"/>
            <family val="2"/>
          </rPr>
          <t>Abschreibung
Verbrauchsmat.
Instandhaltung</t>
        </r>
      </text>
    </comment>
    <comment ref="AK5" authorId="0" shapeId="0" xr:uid="{972F9677-2204-4998-8675-C03101264FA5}">
      <text>
        <r>
          <rPr>
            <sz val="9"/>
            <color indexed="81"/>
            <rFont val="Segoe UI"/>
            <family val="2"/>
          </rPr>
          <t>Abschreibung
Verbrauchsmat.
Instandhaltung</t>
        </r>
      </text>
    </comment>
    <comment ref="AO5" authorId="0" shapeId="0" xr:uid="{8FE6D3C3-563A-4E99-9898-670BB5A32851}">
      <text>
        <r>
          <rPr>
            <sz val="9"/>
            <color indexed="81"/>
            <rFont val="Segoe UI"/>
            <family val="2"/>
          </rPr>
          <t>Abschreibung
Verbrauchsmat.
Instandhaltung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Christoph Regensburger</author>
  </authors>
  <commentList>
    <comment ref="AB5" authorId="0" shapeId="0" xr:uid="{F3B23DCC-B4B0-48E3-BE81-88FB780C47DB}">
      <text>
        <r>
          <rPr>
            <sz val="9"/>
            <color indexed="81"/>
            <rFont val="Segoe UI"/>
            <family val="2"/>
          </rPr>
          <t>bis zu 20x20cm</t>
        </r>
      </text>
    </comment>
    <comment ref="AF5" authorId="0" shapeId="0" xr:uid="{1C6D8CF2-F9BF-4755-BBB4-385D367496CD}">
      <text>
        <r>
          <rPr>
            <sz val="9"/>
            <color indexed="81"/>
            <rFont val="Segoe UI"/>
            <family val="2"/>
          </rPr>
          <t xml:space="preserve">Manueller Spannhebel
</t>
        </r>
      </text>
    </comment>
    <comment ref="AB6" authorId="0" shapeId="0" xr:uid="{C6170CE7-B1CB-4F6C-98C4-E63BBA6AFB30}">
      <text>
        <r>
          <rPr>
            <sz val="9"/>
            <color indexed="81"/>
            <rFont val="Segoe UI"/>
            <family val="2"/>
          </rPr>
          <t>bis zu 20x20cm</t>
        </r>
      </text>
    </comment>
    <comment ref="AF6" authorId="0" shapeId="0" xr:uid="{1FA8F77C-9FED-4F3B-A724-02B3E8C99CF3}">
      <text>
        <r>
          <rPr>
            <sz val="9"/>
            <color indexed="81"/>
            <rFont val="Segoe UI"/>
            <family val="2"/>
          </rPr>
          <t>Spannhebel Pneumatisch</t>
        </r>
      </text>
    </comment>
    <comment ref="AB7" authorId="0" shapeId="0" xr:uid="{38AB07F4-2B52-4993-8394-73AE63AF3FE1}">
      <text>
        <r>
          <rPr>
            <sz val="9"/>
            <color indexed="81"/>
            <rFont val="Segoe UI"/>
            <family val="2"/>
          </rPr>
          <t>bis zu 50x50cm</t>
        </r>
      </text>
    </comment>
    <comment ref="AF7" authorId="0" shapeId="0" xr:uid="{4E7E44B1-1209-474B-9494-1422076A8893}">
      <text>
        <r>
          <rPr>
            <sz val="9"/>
            <color indexed="81"/>
            <rFont val="Segoe UI"/>
            <family val="2"/>
          </rPr>
          <t>Spannhebel Pneumatisch</t>
        </r>
      </text>
    </comment>
    <comment ref="AF9" authorId="0" shapeId="0" xr:uid="{D64428EE-F04A-4D5E-A1AF-2B2357F96FDA}">
      <text>
        <r>
          <rPr>
            <sz val="9"/>
            <color indexed="81"/>
            <rFont val="Segoe UI"/>
            <family val="2"/>
          </rPr>
          <t>Spannpratze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B45" authorId="0" shapeId="0" xr:uid="{13FE6A8D-83D6-4614-B3E8-CECD4C340D86}">
      <text>
        <r>
          <rPr>
            <sz val="9"/>
            <color indexed="81"/>
            <rFont val="Segoe UI"/>
            <family val="2"/>
          </rPr>
          <t>Scrap 
before this production step</t>
        </r>
      </text>
    </comment>
    <comment ref="C45" authorId="0" shapeId="0" xr:uid="{E20A53CF-EBD0-411A-A9BB-64934B7140DE}">
      <text>
        <r>
          <rPr>
            <sz val="9"/>
            <color indexed="81"/>
            <rFont val="Segoe UI"/>
            <family val="2"/>
          </rPr>
          <t>Ausschuss
vor dieser Fertigungsstufe</t>
        </r>
      </text>
    </comment>
    <comment ref="B140" authorId="0" shapeId="0" xr:uid="{80A57E0B-5009-468C-A1FE-6CF92E687414}">
      <text>
        <r>
          <rPr>
            <sz val="9"/>
            <color indexed="81"/>
            <rFont val="Segoe UI"/>
            <family val="2"/>
          </rPr>
          <t>Purchasing
Incoming goods and quality inspection
Warehouse personnel costs</t>
        </r>
      </text>
    </comment>
    <comment ref="C140" authorId="0" shapeId="0" xr:uid="{6CEB5760-FC5B-407F-AD8D-7889944F091A}">
      <text>
        <r>
          <rPr>
            <sz val="9"/>
            <color indexed="81"/>
            <rFont val="Segoe UI"/>
            <family val="2"/>
          </rPr>
          <t>Einkauf
Wareneingangs- und Qualitätsprüfung
Lagerpersonalkosten</t>
        </r>
      </text>
    </comment>
    <comment ref="B141" authorId="0" shapeId="0" xr:uid="{3C47A97E-A152-410E-9D6A-B3FC728F438C}">
      <text>
        <r>
          <rPr>
            <sz val="9"/>
            <color indexed="81"/>
            <rFont val="Segoe UI"/>
            <family val="2"/>
          </rPr>
          <t>Wage costs purchaser
Workplace costs purchaser</t>
        </r>
      </text>
    </comment>
    <comment ref="C141" authorId="0" shapeId="0" xr:uid="{2445DE58-D316-48BF-9DC8-A18F306A3973}">
      <text>
        <r>
          <rPr>
            <sz val="9"/>
            <color indexed="81"/>
            <rFont val="Segoe UI"/>
            <family val="2"/>
          </rPr>
          <t>Lohnkosten Einkäufer
Arbeitsplatzkosten Einkäufer</t>
        </r>
      </text>
    </comment>
    <comment ref="B142" authorId="0" shapeId="0" xr:uid="{FE55643B-3B34-4281-9B50-6C1F665A1478}">
      <text>
        <r>
          <rPr>
            <sz val="9"/>
            <color indexed="81"/>
            <rFont val="Segoe UI"/>
            <family val="2"/>
          </rPr>
          <t>Wage costs test and quality engineer
Machine costs test stands</t>
        </r>
      </text>
    </comment>
    <comment ref="C142" authorId="0" shapeId="0" xr:uid="{0B8633CD-CDED-42FC-8FBF-70478AD46037}">
      <text>
        <r>
          <rPr>
            <sz val="9"/>
            <color indexed="81"/>
            <rFont val="Segoe UI"/>
            <family val="2"/>
          </rPr>
          <t>Lohnkosten Prüf- und Qualitätsingenieur
Maschinekosten Prüfstände</t>
        </r>
      </text>
    </comment>
    <comment ref="B143" authorId="0" shapeId="0" xr:uid="{459CDAE0-FD75-4E9F-93A4-D934D8916AFD}">
      <text>
        <r>
          <rPr>
            <sz val="9"/>
            <color indexed="81"/>
            <rFont val="Segoe UI"/>
            <family val="2"/>
          </rPr>
          <t>Wage costs warehouse workers
Machine costs warehouse operating equipment</t>
        </r>
      </text>
    </comment>
    <comment ref="C143" authorId="0" shapeId="0" xr:uid="{0BDC8921-4C13-4CC7-9A75-CEE89FA3568C}">
      <text>
        <r>
          <rPr>
            <sz val="9"/>
            <color indexed="81"/>
            <rFont val="Segoe UI"/>
            <family val="2"/>
          </rPr>
          <t>Lohnkosten Lagerarbeiter
Maschinenkosten Lagerbediengeräte</t>
        </r>
      </text>
    </comment>
    <comment ref="B144" authorId="0" shapeId="0" xr:uid="{FDDEE180-07B8-4E00-AD15-571AA5342036}">
      <text>
        <r>
          <rPr>
            <sz val="9"/>
            <color indexed="81"/>
            <rFont val="Segoe UI"/>
            <family val="2"/>
          </rPr>
          <t>Capital commitment
over the stock range</t>
        </r>
      </text>
    </comment>
    <comment ref="C144" authorId="0" shapeId="0" xr:uid="{23C553DA-1222-428F-8B31-C753A187C288}">
      <text>
        <r>
          <rPr>
            <sz val="9"/>
            <color indexed="81"/>
            <rFont val="Segoe UI"/>
            <family val="2"/>
          </rPr>
          <t xml:space="preserve">Kapitalbindung
über die Lagerreichweite
</t>
        </r>
      </text>
    </comment>
    <comment ref="B145" authorId="0" shapeId="0" xr:uid="{C38FAC6A-6BE9-4042-8D5B-FE289D7E6C25}">
      <text>
        <r>
          <rPr>
            <sz val="9"/>
            <color indexed="81"/>
            <rFont val="Segoe UI"/>
            <family val="2"/>
          </rPr>
          <t>Goods insurance
over the stock range</t>
        </r>
      </text>
    </comment>
    <comment ref="C145" authorId="0" shapeId="0" xr:uid="{198B9EDE-E15B-4E55-A782-01C038CCF754}">
      <text>
        <r>
          <rPr>
            <sz val="9"/>
            <color indexed="81"/>
            <rFont val="Segoe UI"/>
            <family val="2"/>
          </rPr>
          <t>Warenversicherung
über die Lagerreichweite</t>
        </r>
      </text>
    </comment>
    <comment ref="B146" authorId="0" shapeId="0" xr:uid="{2572B7DC-C053-4363-8867-83579D9EC422}">
      <text>
        <r>
          <rPr>
            <sz val="9"/>
            <color indexed="81"/>
            <rFont val="Segoe UI"/>
            <family val="2"/>
          </rPr>
          <t>Warehouse costs
Personnel costs warehouse management</t>
        </r>
      </text>
    </comment>
    <comment ref="C146" authorId="0" shapeId="0" xr:uid="{81BF68F6-36D3-42A3-8B2A-5A66A3E8CC6E}">
      <text>
        <r>
          <rPr>
            <sz val="9"/>
            <color indexed="81"/>
            <rFont val="Segoe UI"/>
            <family val="2"/>
          </rPr>
          <t>Lagerplatzkosten
Personalkosten Lagerleitung</t>
        </r>
      </text>
    </comment>
    <comment ref="B147" authorId="0" shapeId="0" xr:uid="{D0A92F2A-DF2B-4EC4-B4C6-127440F3E411}">
      <text>
        <r>
          <rPr>
            <sz val="9"/>
            <color indexed="81"/>
            <rFont val="Segoe UI"/>
            <family val="2"/>
          </rPr>
          <t>Capital commitment
Insurance
Storage space costs</t>
        </r>
      </text>
    </comment>
    <comment ref="C147" authorId="0" shapeId="0" xr:uid="{DC2DD4EE-CE81-4B36-8765-F6106656CD9A}">
      <text>
        <r>
          <rPr>
            <sz val="9"/>
            <color indexed="81"/>
            <rFont val="Segoe UI"/>
            <family val="2"/>
          </rPr>
          <t>Kapitalbindung
Versicherung
Lagerplatzkosten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141490-2D2C-4AED-A7AD-681CB0F8036F}" keepAlive="1" name="Abfrage - MGK" description="Verbindung mit der Abfrage 'MGK' in der Arbeitsmappe." type="5" refreshedVersion="8" background="1" saveData="1">
    <dbPr connection="Provider=Microsoft.Mashup.OleDb.1;Data Source=$Workbook$;Location=MGK;Extended Properties=&quot;&quot;" command="SELECT * FROM [MGK]"/>
    <extLst>
      <ext xmlns:x15="http://schemas.microsoft.com/office/spreadsheetml/2010/11/main" uri="{DE250136-89BD-433C-8126-D09CA5730AF9}">
        <x15:connection id="" excludeFromRefreshAll="1"/>
      </ext>
    </extLst>
  </connection>
  <connection id="2" xr16:uid="{DCE98DA4-DFF2-4FFE-89FD-47412EC93042}" keepAlive="1" name="Abfrage - MGKMHR" description="Verbindung mit der Abfrage 'MGKMHR' in der Arbeitsmappe." type="5" refreshedVersion="8" background="1" saveData="1">
    <dbPr connection="Provider=Microsoft.Mashup.OleDb.1;Data Source=$Workbook$;Location=MGKMHR;Extended Properties=&quot;&quot;" command="SELECT * FROM [MGKMHR]"/>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<sst xmlns="http://schemas.openxmlformats.org/spreadsheetml/2006/main" count="9641" uniqueCount="4168">
  <si>
    <t>Gesamt</t>
  </si>
  <si>
    <t>MGK</t>
  </si>
  <si>
    <t>Bezeichnung</t>
  </si>
  <si>
    <t>%</t>
  </si>
  <si>
    <t>LGR</t>
  </si>
  <si>
    <t>Faktor
Strom</t>
  </si>
  <si>
    <t>Schichten</t>
  </si>
  <si>
    <t>Arbeitstage
pro Jahr</t>
  </si>
  <si>
    <t>Zeit</t>
  </si>
  <si>
    <t>MK</t>
  </si>
  <si>
    <t>FK</t>
  </si>
  <si>
    <t>Preis</t>
  </si>
  <si>
    <t>HK</t>
  </si>
  <si>
    <t>VVGK</t>
  </si>
  <si>
    <t>Gewinn</t>
  </si>
  <si>
    <t>Fertigungsort</t>
  </si>
  <si>
    <t>Arbeitstage pro Jahr</t>
  </si>
  <si>
    <t>Miete</t>
  </si>
  <si>
    <t>konstant</t>
  </si>
  <si>
    <t>Kalkulierte Jahresstückzahl</t>
  </si>
  <si>
    <t>Stunden
pro Jahr</t>
  </si>
  <si>
    <t>Strom</t>
  </si>
  <si>
    <t>Kategorie</t>
  </si>
  <si>
    <t>Standort</t>
  </si>
  <si>
    <t>Währung</t>
  </si>
  <si>
    <t>Wechselkurs</t>
  </si>
  <si>
    <t>MEK</t>
  </si>
  <si>
    <t>FGK</t>
  </si>
  <si>
    <t>VVGK M</t>
  </si>
  <si>
    <t>VVGK W</t>
  </si>
  <si>
    <t>Gewinn M</t>
  </si>
  <si>
    <t>Gewinn W</t>
  </si>
  <si>
    <t>Nr.</t>
  </si>
  <si>
    <t>Benennung</t>
  </si>
  <si>
    <t>Material</t>
  </si>
  <si>
    <t>Anzahl</t>
  </si>
  <si>
    <t xml:space="preserve"> </t>
  </si>
  <si>
    <t xml:space="preserve">  </t>
  </si>
  <si>
    <t>x</t>
  </si>
  <si>
    <t>MSS</t>
  </si>
  <si>
    <t>R</t>
  </si>
  <si>
    <t>VVGK Wertschöpfung</t>
  </si>
  <si>
    <t>VVGK Material</t>
  </si>
  <si>
    <t>Gewinn Wertschöpfung</t>
  </si>
  <si>
    <t>Gewinn Material</t>
  </si>
  <si>
    <t>Kalk. Zins</t>
  </si>
  <si>
    <t>Verfügbarkeit Werker</t>
  </si>
  <si>
    <t>Auslastung Maschinen</t>
  </si>
  <si>
    <t>Laufzeit</t>
  </si>
  <si>
    <t>M</t>
  </si>
  <si>
    <t>DE</t>
  </si>
  <si>
    <t>W</t>
  </si>
  <si>
    <t>Dropdown</t>
  </si>
  <si>
    <t>Losgröße</t>
  </si>
  <si>
    <t>EN</t>
  </si>
  <si>
    <t>Time unit</t>
  </si>
  <si>
    <t>Prämissen</t>
  </si>
  <si>
    <t>Gemeinkosten</t>
  </si>
  <si>
    <t>MHR</t>
  </si>
  <si>
    <t>Einheit</t>
  </si>
  <si>
    <t>Los</t>
  </si>
  <si>
    <t>EUR</t>
  </si>
  <si>
    <t>MA</t>
  </si>
  <si>
    <t>RSS</t>
  </si>
  <si>
    <t>RFGK-Satz</t>
  </si>
  <si>
    <t>F K</t>
  </si>
  <si>
    <t>V V G K</t>
  </si>
  <si>
    <t>S K</t>
  </si>
  <si>
    <t xml:space="preserve">G e w i n n </t>
  </si>
  <si>
    <t>Description</t>
  </si>
  <si>
    <t>Total</t>
  </si>
  <si>
    <t>Unit</t>
  </si>
  <si>
    <t>Rework</t>
  </si>
  <si>
    <t>Lot Size</t>
  </si>
  <si>
    <t>Time</t>
  </si>
  <si>
    <t>Worker</t>
  </si>
  <si>
    <t>No.</t>
  </si>
  <si>
    <t>Ausschussrate</t>
  </si>
  <si>
    <t>Qty</t>
  </si>
  <si>
    <t>X/O</t>
  </si>
  <si>
    <t>Teile/ Zyklus</t>
  </si>
  <si>
    <t>Parts/ Cycle</t>
  </si>
  <si>
    <t>high innovative product</t>
  </si>
  <si>
    <t>K</t>
  </si>
  <si>
    <t>A</t>
  </si>
  <si>
    <t>Werkzeuge</t>
  </si>
  <si>
    <t>Verschleißwerkzeuge</t>
  </si>
  <si>
    <t>system supplier</t>
  </si>
  <si>
    <t>build to print</t>
  </si>
  <si>
    <t>Dummy</t>
  </si>
  <si>
    <t>Wirschaftsbereich</t>
  </si>
  <si>
    <t>Arbeitskosten Maschinenbediener</t>
  </si>
  <si>
    <t>Arbeitskosten Facharbeiter/Einsteller</t>
  </si>
  <si>
    <t>s</t>
  </si>
  <si>
    <t>RFGK Übertrag</t>
  </si>
  <si>
    <t>Gewinn [%]</t>
  </si>
  <si>
    <t>Ѻ</t>
  </si>
  <si>
    <t>Kundentakt</t>
  </si>
  <si>
    <t>RFGK</t>
  </si>
  <si>
    <t>MGK-Satz</t>
  </si>
  <si>
    <t>Lohn</t>
  </si>
  <si>
    <t>Verbrauchsmaterial 
[% Invest]</t>
  </si>
  <si>
    <t>Zuschlag 
2-Schicht [%]</t>
  </si>
  <si>
    <t>Zuschlag 
3-Schicht [%]</t>
  </si>
  <si>
    <t>Strom 
[EUR/kWh]</t>
  </si>
  <si>
    <t>Kalk. Zins 
[%]</t>
  </si>
  <si>
    <t>Materialdaten</t>
  </si>
  <si>
    <t>Maschinendaten</t>
  </si>
  <si>
    <t>kalk. AfA 
[Jahre]</t>
  </si>
  <si>
    <t>Strom 
[kW]</t>
  </si>
  <si>
    <t>Fläche 
[m²]</t>
  </si>
  <si>
    <t>Allgemeine Fläche 
[m²]</t>
  </si>
  <si>
    <t>Auslastung 
[%]</t>
  </si>
  <si>
    <t>Spez
BeMi</t>
  </si>
  <si>
    <t>ACT 
ID</t>
  </si>
  <si>
    <t>ACT 
MK/SR</t>
  </si>
  <si>
    <t>Kundenlos</t>
  </si>
  <si>
    <t>Zeit Rüsten</t>
  </si>
  <si>
    <t>MA Rüsten</t>
  </si>
  <si>
    <t>EUR/h</t>
  </si>
  <si>
    <t>Einzel</t>
  </si>
  <si>
    <t>y</t>
  </si>
  <si>
    <t>z</t>
  </si>
  <si>
    <t>Zyklus-zeit</t>
  </si>
  <si>
    <t>Qual.</t>
  </si>
  <si>
    <t>Stk/Los</t>
  </si>
  <si>
    <t>Min</t>
  </si>
  <si>
    <t>Stand-
zeit</t>
  </si>
  <si>
    <t>Nacharbeit</t>
  </si>
  <si>
    <t>NA</t>
  </si>
  <si>
    <t>∑</t>
  </si>
  <si>
    <t>+</t>
  </si>
  <si>
    <t>Wgt</t>
  </si>
  <si>
    <t>Subs</t>
  </si>
  <si>
    <t>Dimensions</t>
  </si>
  <si>
    <t>Dichte</t>
  </si>
  <si>
    <t>T-%</t>
  </si>
  <si>
    <t>∑ inkl. T-%</t>
  </si>
  <si>
    <t>»»»</t>
  </si>
  <si>
    <t>U/S</t>
  </si>
  <si>
    <t>Gewicht</t>
  </si>
  <si>
    <t>www</t>
  </si>
  <si>
    <t>-</t>
  </si>
  <si>
    <t>Value</t>
  </si>
  <si>
    <t>externes Rüsten</t>
  </si>
  <si>
    <t>Caluculation</t>
  </si>
  <si>
    <t>Nacharbeitung Ausschuss</t>
  </si>
  <si>
    <t>vorgelagerter Materialausschuss</t>
  </si>
  <si>
    <t>ID</t>
  </si>
  <si>
    <t>∑ incl. T-%</t>
  </si>
  <si>
    <t>Zeit-einheit</t>
  </si>
  <si>
    <t>Cycle time</t>
  </si>
  <si>
    <t>Mat.</t>
  </si>
  <si>
    <t>M/F</t>
  </si>
  <si>
    <t>Wertschöpfung</t>
  </si>
  <si>
    <t>Mfg.</t>
  </si>
  <si>
    <t>Lot</t>
  </si>
  <si>
    <t>Price</t>
  </si>
  <si>
    <t>4ñ</t>
  </si>
  <si>
    <t>Rw.</t>
  </si>
  <si>
    <t>Single</t>
  </si>
  <si>
    <t>Rüsten</t>
  </si>
  <si>
    <t>Maschinen</t>
  </si>
  <si>
    <t>Added value</t>
  </si>
  <si>
    <t>Machines</t>
  </si>
  <si>
    <t>Set up</t>
  </si>
  <si>
    <t>Tools</t>
  </si>
  <si>
    <t>Indirect Mfg.</t>
  </si>
  <si>
    <t>Direct Mat.</t>
  </si>
  <si>
    <t>Prod.</t>
  </si>
  <si>
    <t>Anmerkungen</t>
  </si>
  <si>
    <t>Notes</t>
  </si>
  <si>
    <t>Prt/Lot</t>
  </si>
  <si>
    <t>Scrap Mat.</t>
  </si>
  <si>
    <t>SG&amp;A Mfg.</t>
  </si>
  <si>
    <t>SG&amp;A Mat.</t>
  </si>
  <si>
    <t>Profit Mat.</t>
  </si>
  <si>
    <t>Profit Mfg.</t>
  </si>
  <si>
    <t>Version</t>
  </si>
  <si>
    <t>Revision</t>
  </si>
  <si>
    <t>Anzahl MA</t>
  </si>
  <si>
    <t>Qualifikation MA</t>
  </si>
  <si>
    <t>Language</t>
  </si>
  <si>
    <t>t</t>
  </si>
  <si>
    <t>10000 - 100000</t>
  </si>
  <si>
    <t>5000 - 10000</t>
  </si>
  <si>
    <t>1000 - 5000</t>
  </si>
  <si>
    <t>500 - 1000</t>
  </si>
  <si>
    <t>100 - 500</t>
  </si>
  <si>
    <t>50 - 100</t>
  </si>
  <si>
    <t>10 - 50</t>
  </si>
  <si>
    <t>5 - 10</t>
  </si>
  <si>
    <t>1 - 5</t>
  </si>
  <si>
    <t>0,5 - 1</t>
  </si>
  <si>
    <t>0,1 - 0,5</t>
  </si>
  <si>
    <t>0 - 0,1</t>
  </si>
  <si>
    <t>time [sec]</t>
  </si>
  <si>
    <t>Weight [kg]</t>
  </si>
  <si>
    <t>Max. Weight [kg]</t>
  </si>
  <si>
    <t>unprecise positioning</t>
  </si>
  <si>
    <t>precise positioning</t>
  </si>
  <si>
    <t>Caption</t>
  </si>
  <si>
    <t>Logistik</t>
  </si>
  <si>
    <t>Assy</t>
  </si>
  <si>
    <t>Cluster</t>
  </si>
  <si>
    <t>Preis ZSB</t>
  </si>
  <si>
    <t>ZSB</t>
  </si>
  <si>
    <t>Assembly</t>
  </si>
  <si>
    <t>Wear Tools</t>
  </si>
  <si>
    <t>Profit</t>
  </si>
  <si>
    <t>SG&amp;A</t>
  </si>
  <si>
    <t>1</t>
  </si>
  <si>
    <t>2</t>
  </si>
  <si>
    <t>3</t>
  </si>
  <si>
    <t>4</t>
  </si>
  <si>
    <t>5</t>
  </si>
  <si>
    <t>6</t>
  </si>
  <si>
    <t>7</t>
  </si>
  <si>
    <t>8</t>
  </si>
  <si>
    <t>9</t>
  </si>
  <si>
    <t>10</t>
  </si>
  <si>
    <t>13</t>
  </si>
  <si>
    <t>14</t>
  </si>
  <si>
    <t>15</t>
  </si>
  <si>
    <t>16</t>
  </si>
  <si>
    <t>17</t>
  </si>
  <si>
    <t>18</t>
  </si>
  <si>
    <t>19</t>
  </si>
  <si>
    <t>20</t>
  </si>
  <si>
    <t>21</t>
  </si>
  <si>
    <t>#</t>
  </si>
  <si>
    <t>Injection Moulding</t>
  </si>
  <si>
    <t>Purchased Parts</t>
  </si>
  <si>
    <t>Cluster 3</t>
  </si>
  <si>
    <t>Group 1</t>
  </si>
  <si>
    <t>Group 3</t>
  </si>
  <si>
    <t>Group 2</t>
  </si>
  <si>
    <t>Production</t>
  </si>
  <si>
    <t>22</t>
  </si>
  <si>
    <t>23</t>
  </si>
  <si>
    <t>P</t>
  </si>
  <si>
    <t>Depreciation</t>
  </si>
  <si>
    <t>24</t>
  </si>
  <si>
    <t>11</t>
  </si>
  <si>
    <t>\\wts\02 DATA\02 WD\04 Prämissen\</t>
  </si>
  <si>
    <t>DUM</t>
  </si>
  <si>
    <t>\\wts\02 DATA\02 WD\02 Technologien\98 AWS Maschinendatenbank\</t>
  </si>
  <si>
    <t>Project</t>
  </si>
  <si>
    <t>Default</t>
  </si>
  <si>
    <t>Online</t>
  </si>
  <si>
    <t>\\wts\02 DATA\</t>
  </si>
  <si>
    <t>Addins</t>
  </si>
  <si>
    <t>\\wts\02 DATA\02 WD\01 Kalkulationstools\99 Addins\</t>
  </si>
  <si>
    <t>%USERPROFILE%\AppData\Local\</t>
  </si>
  <si>
    <t>Projektspezifisch</t>
  </si>
  <si>
    <t>&gt;</t>
  </si>
  <si>
    <t>B</t>
  </si>
  <si>
    <t>1st</t>
  </si>
  <si>
    <t>lst</t>
  </si>
  <si>
    <t>Pic</t>
  </si>
  <si>
    <t>lvl</t>
  </si>
  <si>
    <t>C</t>
  </si>
  <si>
    <t>D</t>
  </si>
  <si>
    <t>E</t>
  </si>
  <si>
    <t>F</t>
  </si>
  <si>
    <t>G</t>
  </si>
  <si>
    <t>H</t>
  </si>
  <si>
    <t>I</t>
  </si>
  <si>
    <t>J</t>
  </si>
  <si>
    <t>L</t>
  </si>
  <si>
    <t>N</t>
  </si>
  <si>
    <t>O</t>
  </si>
  <si>
    <t>Q</t>
  </si>
  <si>
    <t>S</t>
  </si>
  <si>
    <t>T</t>
  </si>
  <si>
    <t>U</t>
  </si>
  <si>
    <t>V</t>
  </si>
  <si>
    <t>X</t>
  </si>
  <si>
    <t>Y</t>
  </si>
  <si>
    <t>Z</t>
  </si>
  <si>
    <t>Mt</t>
  </si>
  <si>
    <t>Ms</t>
  </si>
  <si>
    <t>D. Mat.</t>
  </si>
  <si>
    <t>Ind. Mat.</t>
  </si>
  <si>
    <t>Analysis</t>
  </si>
  <si>
    <t>Pfad MHR</t>
  </si>
  <si>
    <t>Pfad MAT</t>
  </si>
  <si>
    <t>Pfad LOC</t>
  </si>
  <si>
    <t>Pfad TEC</t>
  </si>
  <si>
    <t>Standardnummerierung zulassen</t>
  </si>
  <si>
    <t>ACT-X zulassen</t>
  </si>
  <si>
    <t>ACT-Q zulassen</t>
  </si>
  <si>
    <t>ACT-Q Mindestrating</t>
  </si>
  <si>
    <t>BZ</t>
  </si>
  <si>
    <t>BX</t>
  </si>
  <si>
    <t>BW</t>
  </si>
  <si>
    <t>BV</t>
  </si>
  <si>
    <t>BU</t>
  </si>
  <si>
    <t>BT</t>
  </si>
  <si>
    <t>BS</t>
  </si>
  <si>
    <t>EUR/Stk</t>
  </si>
  <si>
    <t>BR</t>
  </si>
  <si>
    <t>BQ</t>
  </si>
  <si>
    <t>BP</t>
  </si>
  <si>
    <t>BO</t>
  </si>
  <si>
    <t>BN</t>
  </si>
  <si>
    <t>BM</t>
  </si>
  <si>
    <t>BL</t>
  </si>
  <si>
    <t>BK</t>
  </si>
  <si>
    <t>BJ</t>
  </si>
  <si>
    <t>BI</t>
  </si>
  <si>
    <t>BH</t>
  </si>
  <si>
    <t>BG</t>
  </si>
  <si>
    <t>BF</t>
  </si>
  <si>
    <t>BE</t>
  </si>
  <si>
    <t>BD</t>
  </si>
  <si>
    <t>BC</t>
  </si>
  <si>
    <t>BB</t>
  </si>
  <si>
    <t>BA</t>
  </si>
  <si>
    <t>AZ</t>
  </si>
  <si>
    <t>AY</t>
  </si>
  <si>
    <t>AX</t>
  </si>
  <si>
    <t>AW</t>
  </si>
  <si>
    <t>AV</t>
  </si>
  <si>
    <t>AU</t>
  </si>
  <si>
    <t>AT</t>
  </si>
  <si>
    <t>AS</t>
  </si>
  <si>
    <t>AR</t>
  </si>
  <si>
    <t>AQ</t>
  </si>
  <si>
    <t>AP</t>
  </si>
  <si>
    <t>AO</t>
  </si>
  <si>
    <t>AN</t>
  </si>
  <si>
    <t>AM</t>
  </si>
  <si>
    <t>Fertigungsausschuss</t>
  </si>
  <si>
    <t>AL</t>
  </si>
  <si>
    <t>AK</t>
  </si>
  <si>
    <t>Ausschuss vor dieser Fertigungsstufe</t>
  </si>
  <si>
    <t>AJ</t>
  </si>
  <si>
    <t>Hier werden die absoluten Nacharbeitskosten pro Stück eingetragen.</t>
  </si>
  <si>
    <t>Nacharbeitskosten</t>
  </si>
  <si>
    <t>AI</t>
  </si>
  <si>
    <t>Wenn ein Nacharbeitsanteil eingetragen wird, reduziert sich der komplette Ausschuss um diesen Prozentsatz. Dafür fallen Nacharbeitskosten für diese Teile an. Dieser Nacharbeitsanteil wird hier eingetragen.</t>
  </si>
  <si>
    <t>Nacharbeitanteil</t>
  </si>
  <si>
    <t>AH</t>
  </si>
  <si>
    <t>Die Ausschussrate für die Fertigung wird lieferantenabhängig aus dem Prämissenblatt übernommen. Dort wird der Ausschuss prozentual eingetragen.</t>
  </si>
  <si>
    <t>AG</t>
  </si>
  <si>
    <t>AF</t>
  </si>
  <si>
    <t>AE</t>
  </si>
  <si>
    <t>Standzeit</t>
  </si>
  <si>
    <t>AD</t>
  </si>
  <si>
    <t>AC</t>
  </si>
  <si>
    <t>Hier wird der Name des Verschleißwerkzeuges eingetragen.</t>
  </si>
  <si>
    <t>AB</t>
  </si>
  <si>
    <t>AA</t>
  </si>
  <si>
    <t>Mitarbeiter</t>
  </si>
  <si>
    <t>Hier wird die Anzahl der Werker für den erforderlichen Fertigungsschritt eingetragen.</t>
  </si>
  <si>
    <t>Zeiteinheit</t>
  </si>
  <si>
    <t>Zykluszeit</t>
  </si>
  <si>
    <t>Access</t>
  </si>
  <si>
    <t>Column</t>
  </si>
  <si>
    <t>Header EN</t>
  </si>
  <si>
    <t>Body EN</t>
  </si>
  <si>
    <t>Header DE</t>
  </si>
  <si>
    <t>Body DE</t>
  </si>
  <si>
    <t>Machine</t>
  </si>
  <si>
    <t>Ext. Rüsten</t>
  </si>
  <si>
    <t>Category DE</t>
  </si>
  <si>
    <t>Category EN</t>
  </si>
  <si>
    <t>Subcategory EN</t>
  </si>
  <si>
    <t>Subcategory DE</t>
  </si>
  <si>
    <t>Material &amp; Verbrauchsstoffe</t>
  </si>
  <si>
    <t>Hier trägt man die benötigte Rüstzeit in Minuten ein, d.h. die Zeit in der die Maschine still steht und von Mitarbeitern gerüstet wird.</t>
  </si>
  <si>
    <t>Hier wird die Zeit für externes Rüstens in Minuten eingetragen, also Zeit für Rüstvorgänge, während derer die Maschine NICHT still steht.</t>
  </si>
  <si>
    <t>Hier wird die berechnete Losgröße angezeigt.</t>
  </si>
  <si>
    <t>Arbeitskosten</t>
  </si>
  <si>
    <t>Hier werden die gesamten Rüstkosten pro Stück angezeigt.</t>
  </si>
  <si>
    <t>Qualifikation</t>
  </si>
  <si>
    <t>Werkzeuge/ Vorrichtungen</t>
  </si>
  <si>
    <t>Hier wird die Anzahl der pro Stück benötigten Werkzeuge bzw. Vorrichtungen eingetragen.</t>
  </si>
  <si>
    <t>Der Preis für die Werkzeuge und die Instandhaltung pro Stück wird hier eingetragen.</t>
  </si>
  <si>
    <t>Preis pro Stück</t>
  </si>
  <si>
    <t>Der Preis für die Verschleißwerkzeuge pro Stück wird hier eingetragen.</t>
  </si>
  <si>
    <t>Unabhängig von der Nacharbeit kann hier die Wertschöpfung pro Stück vor dem aktuellen Fertigungsschritt eingetragen werden. Diese wird dann in den Ausschusskosten pro Stück berücksichtigt.</t>
  </si>
  <si>
    <t>durchschnittliche Nacharbeitskosten</t>
  </si>
  <si>
    <t>Fertigungskosten</t>
  </si>
  <si>
    <t>Hier wird (übernommen aus dem MAT-Reiter) die Einheit des ausgewählten Materials angezeigt.</t>
  </si>
  <si>
    <t>Hier wird (übernommen aus dem MAT-Reiter) der Preis pro Einheit des ausgewählten Materials angezeigt.</t>
  </si>
  <si>
    <t>Materialausschuss</t>
  </si>
  <si>
    <t>Sollte außer dem in diesem Fertigungsschritt bereits berücksichtigtem Material (Spalte AQ) noch zusätzliches (Roh-) Material aus einer vorangegangenen Wertschöpfungsstufe in dem Bauteil enthalten sein, so ist dieser Wert für die Ausschussberechnung in diese Spalte einzutragen.</t>
  </si>
  <si>
    <t>Materialkosten</t>
  </si>
  <si>
    <t>Herstellkosten</t>
  </si>
  <si>
    <t>Selbstkosten</t>
  </si>
  <si>
    <t>Gewinn-Satz</t>
  </si>
  <si>
    <t>VVGK-Satz</t>
  </si>
  <si>
    <t>Hier wird der Preis für den jeweiligen Kalkulationsblock inklusiver der Tier-Zuschläge (Spalte BU) angezeigt.</t>
  </si>
  <si>
    <t>Wenn es sich um eine Zusammenbaugruppe (ZSB) handelt, wird hier die Summe der Kosten aller gemäß der BOM-Struktur enthaltenen Teile angezeigt.</t>
  </si>
  <si>
    <t>Tier-Zuschlag</t>
  </si>
  <si>
    <t>Kosten</t>
  </si>
  <si>
    <t>Einzeln</t>
  </si>
  <si>
    <t xml:space="preserve">Hier wird der Preis pro Stück für den jeweiligen Kalkulationsblock inklusiver der Tier-Zuschläge (Spalte BU) angezeigt.
</t>
  </si>
  <si>
    <t>Strukturstufe</t>
  </si>
  <si>
    <t>Nummerierung</t>
  </si>
  <si>
    <t>Länge</t>
  </si>
  <si>
    <t>Breite</t>
  </si>
  <si>
    <t>Höhe</t>
  </si>
  <si>
    <t>Materialstärke</t>
  </si>
  <si>
    <t>Hier wird bei Bedarf die durchschnittliche Materialstärke des Bauteils eingetragen.</t>
  </si>
  <si>
    <t>Fertigungsprozess</t>
  </si>
  <si>
    <t>Lieferantenstruktur</t>
  </si>
  <si>
    <t>Gesamtanzahl</t>
  </si>
  <si>
    <t>Gesamtgewicht</t>
  </si>
  <si>
    <t>Anzahl Unterbaugruppen</t>
  </si>
  <si>
    <t>Bilder</t>
  </si>
  <si>
    <t>Hier wird automatisch die Gesamtanzahl, also wie oft das Bauteil insgesamt vorkommt, berechnet.</t>
  </si>
  <si>
    <t>Hier wird automatsich das Gesamtgewicht, also das Einzelgewicht multipliziert mit der Anzahl, berechnet.</t>
  </si>
  <si>
    <t>Hier können Anmerkungen und Kommentare hinzugefügt werden</t>
  </si>
  <si>
    <t>Hier werden die Maschinengesamtkosten pro Stück angezeigt. 
Maschinengesamtkosten = Stückzeit x MSS</t>
  </si>
  <si>
    <t>Hier wird der Name des Werkzeugs eingetragen.</t>
  </si>
  <si>
    <t>Die Kosten für die Werkzeuge und die Instandhaltung werden auf die Teile umgelegt und miteinberechnet.
Preis pro Stück = (Anzahl Werkzeuge x Preis) / Standzeit</t>
  </si>
  <si>
    <t>Die Kosten für die Verschleißwerkzeuge werden auf die Teile umgelegt und miteinberechnet.
Preis pro Stück = (Anzahl Werkzeuge x Preis) / Standzeit</t>
  </si>
  <si>
    <t>Die Nacharbeitskosten werden hier berechnet.
Nacharbeitskosten = (NA Anteil x NA Kosten) / 100 x Ausschussrate /100</t>
  </si>
  <si>
    <t xml:space="preserve">Ist eine Wertschöpfung vor dem Fertigungsschritt (Spalte AJ) eingetragen, werden diese Kosten auf die Teile umgerechnet und zum Fertigungsausschuss (Spalte AG) addiert. 
Wenn ein Nacharbeitsanteil eingetragen wird, reduziert sich der komplette Fertigungsausschuss um diesen Anteil (Spalte AH). Dafür fallen Nacharbeitskosten für diese Teile an (Spalte AK).
Nacharbeitskosten = (NA Kosten + Wertschöpfung bisher x Ausschussrate) / 100 x ((1 - NA Anteil) / 100) + (Maschinenkosten + Mitarbeiterkosten + Verschleißwerkzeugkosten) x Ausschussrate / 100 x ((1 - NA Anteil) / 100) </t>
  </si>
  <si>
    <t>Die gesamten RFGK pro Stück werden hier berechnet.
RFGK = (RFGK RSS x Zykluszeit x Faktor Zeiteinheit) / Teile pro Zyklus</t>
  </si>
  <si>
    <t>Die Fertigungskosten (FK) sind die Summe aus Fertigungseinzelkosten (FEK) und Restfertigungsgemeinkosten (RFGK). Die FK werden einzeln für jeden Fertigungsschritt berechnet.
FK = Maschinenkosten + Rüstkosten + Mitarbeiterkosten + Werkzeugkosten + Verschleißwerkzeugkosten + Kosten Ausschuss Fertigung + RFGK</t>
  </si>
  <si>
    <t>Hier werden die Kosten des Materialauschusses pro Stück berechnet. In dieser Formel ist der vorgelagerte Materialausschuss berücksichtigt.
Materialauschuss = Menge x Materialpreis + Verpackung &amp; Transport) x Ausschussrate / 100 + (Ausschussrate x vorgelagerter Materialausschuss) / 100</t>
  </si>
  <si>
    <t>Die Herstellkosten (HK) setzen sich aus den Fertigungskosten (FK) und den Materialkosten (MK) zusammen.
HK = FK + MK</t>
  </si>
  <si>
    <t>Hier werden die VVGK auf die Wertschöpfung pro Stück berechnet.
VVGK Wertschöpfung = (FK - Werkzeugkosten - Ausschuss Fertigung) x VVGK-Satz Wertschöpfung / 100</t>
  </si>
  <si>
    <t>Hier werden die VVGK auf das Material pro Stück berechnet.
VVGK Material = MK x VVGK-Satz Material / 100</t>
  </si>
  <si>
    <t>Hier werden die VVGK pro Stück berechnet.
VVGK = (FK - Werkzeugkosten - Ausschuss Fertigung + MK) x VVGK-Satz / 100</t>
  </si>
  <si>
    <t>Die Selbstkosten (SK) umfassen alle Kosten des Unternehmens, die für die Herstellung und Vermarktung anfallen.
SK = HK + VVGK</t>
  </si>
  <si>
    <t>Hier wird der Gewinn auf Material pro Stück berechnet. 
Gewinn auf Material = Menge x Materialpreis + Sonderverpackung &amp; Transport) x Gewinn-Satz Material / 100</t>
  </si>
  <si>
    <t>Hier wird der Gewinn auf Wertschöpfung pro Stück berechnet.
Gewinn auf Wertschöpfung = (FK - Ausschuss Fertigung - Werkzeugkosten) x Gewinn-Satz Wertschöpfung / 100</t>
  </si>
  <si>
    <t>Hier wird der Gewinn pro Stück berechnet. 
Gewinn = (FK - Ausschuss Fertigung - Werkzeugkosten+ Menge x Materialpreis + Sonderverpackung &amp; Transport) x Gewinn-Satz / 100</t>
  </si>
  <si>
    <t>Hier werden die Gesamtkosten pro Stück pro Zeile angezeigt.
Gesamtkosten pro Stück = SK + Gewinn</t>
  </si>
  <si>
    <t>Hier werden die Gesamtkosten pro Zeile angezeigt.
Gesamtkosten = Anzahl x (SK + Gewinn)</t>
  </si>
  <si>
    <t xml:space="preserve">   </t>
  </si>
  <si>
    <t>Pfad Addins</t>
  </si>
  <si>
    <t>AK eff.</t>
  </si>
  <si>
    <t>Invest</t>
  </si>
  <si>
    <t>Faktor</t>
  </si>
  <si>
    <t>Labour Costs</t>
  </si>
  <si>
    <t>Input</t>
  </si>
  <si>
    <t>Eingabewährung</t>
  </si>
  <si>
    <t>VVGK: Vertrieb &amp; Versand [%]</t>
  </si>
  <si>
    <t>VVGK: Verwaltung [%]</t>
  </si>
  <si>
    <t>Instandhaltung 
[% Invest]</t>
  </si>
  <si>
    <t>kalk. AfA</t>
  </si>
  <si>
    <t>Fläche</t>
  </si>
  <si>
    <t>Verbrauchsmaterial</t>
  </si>
  <si>
    <t>Instandhaltung</t>
  </si>
  <si>
    <t>Allgemeine Fläche</t>
  </si>
  <si>
    <t>Hilfsgeräte</t>
  </si>
  <si>
    <t>Energie Hilfsgeräte</t>
  </si>
  <si>
    <t>mittl. Strom</t>
  </si>
  <si>
    <t>Monatesmiete</t>
  </si>
  <si>
    <t>LC eff.</t>
  </si>
  <si>
    <t>The number of parts per production step (e.g. the cavities for injection molding) is entered here.</t>
  </si>
  <si>
    <t>Here the total machine costs per piece are displayed.
Total machine costs = time per unit x MHR</t>
  </si>
  <si>
    <t>Setup</t>
  </si>
  <si>
    <t>time</t>
  </si>
  <si>
    <t>workers</t>
  </si>
  <si>
    <t>The calculated lot size is displayed here.</t>
  </si>
  <si>
    <t>The total setup costs per piece are displayed here.</t>
  </si>
  <si>
    <t>The number of workers for the required production step is entered here.</t>
  </si>
  <si>
    <t>Workers</t>
  </si>
  <si>
    <t>The name of the tool is entered here.</t>
  </si>
  <si>
    <t>Tools/Jigs</t>
  </si>
  <si>
    <t>The number of tools or devices required per piece is entered here.</t>
  </si>
  <si>
    <t>Service life means how long the tool can be used before it has to be replaced. The tool life refers to one cavity</t>
  </si>
  <si>
    <t>Service life</t>
  </si>
  <si>
    <t>The cost for tools und maintenance per piece is entered here.</t>
  </si>
  <si>
    <t>The costs for tools and maintenance are allocated to the parts and included in the calculation._x000D_
Price per piece = (number of tools x price) / service life.</t>
  </si>
  <si>
    <t>Tools / Jigs</t>
  </si>
  <si>
    <t>Price per piece</t>
  </si>
  <si>
    <t>The name of the wear tool is entered here.</t>
  </si>
  <si>
    <t>The number of wear tools required per piece is entered here.</t>
  </si>
  <si>
    <t>Quantity</t>
  </si>
  <si>
    <t>The price for the wear tools per piece is entered here.</t>
  </si>
  <si>
    <t>The costs for the wear tools are allocated to the parts and included in the calculation._x000D_
Price per piece = (number of tools x price) / service life.</t>
  </si>
  <si>
    <t>The scrap rate for production is taken from the premise sheet, depending on the supplier. There the scrap is entered as a percentage.</t>
  </si>
  <si>
    <t>Production scrap</t>
  </si>
  <si>
    <t>Scrap rate</t>
  </si>
  <si>
    <t>If a rework percentage is entered, the complete scrap is reduced by this percentage. This results in rework costs for these parts. This rework percentage is entered here.</t>
  </si>
  <si>
    <t>Rework share</t>
  </si>
  <si>
    <t>The absolute rework costs per piece are entered here.</t>
  </si>
  <si>
    <t>Rework costs</t>
  </si>
  <si>
    <t>Independent of the rework, the value added per piece before the current production step can be entered here. This is then taken into account in the scrap costs per unit.</t>
  </si>
  <si>
    <t xml:space="preserve"> The rework costs are calculated here.
Rework costs = (Rw. share x Rw. costs) / 100 x scrap rate /100.</t>
  </si>
  <si>
    <t>Indirect Mfg. Rate</t>
  </si>
  <si>
    <t>Production costs</t>
  </si>
  <si>
    <t>Production costs (Mfg.) are the sum of direct production costs (DPC) and remaining production overheads (RPO). The Mfg. is calculated separately for each production step.
Mfg. = machine costs + set-up costs + labor costs + tool costs + wear tool costs + costs of scrap production + indirect mfg.</t>
  </si>
  <si>
    <t>Material &amp; Consumables</t>
  </si>
  <si>
    <t>Designation</t>
  </si>
  <si>
    <t>The unit of the selected material is displayed here (taken from the MAT tab).</t>
  </si>
  <si>
    <t>The price per unit of the selected material is displayed here (taken from the MAT tab).</t>
  </si>
  <si>
    <t xml:space="preserve"> Here the costs of the material scrap per piece are calculated. The upstream material scrap is taken into account in this formula._x000D_
_x000D_
Material scrap = quantity x material price + packaging &amp; transport) x scrap rate / 100 + (scrap rate x upstream material scrap) / 100.</t>
  </si>
  <si>
    <t>Material costs</t>
  </si>
  <si>
    <t xml:space="preserve"> The production costs (Prod.) consist of the manufacturing costs (Mfg.) and the material costs (Mat.).
Prod. = Mfg. + Mat.</t>
  </si>
  <si>
    <t>SG&amp;A Added value</t>
  </si>
  <si>
    <t>SG&amp;A rate</t>
  </si>
  <si>
    <t>SG&amp;A Material</t>
  </si>
  <si>
    <t>Cost of goods sold</t>
  </si>
  <si>
    <t xml:space="preserve"> Cost of goods sold (SK) includes all costs incurred by the company for production and marketing.
Cost = Prod. + SG&amp;A</t>
  </si>
  <si>
    <t>Profit Added value</t>
  </si>
  <si>
    <t>Profit rate</t>
  </si>
  <si>
    <t>Here the profit is calculated on value added per unit.
Profit on added value = (Mfg. - scrap production - tool costs) x profit rate added value / 100</t>
  </si>
  <si>
    <t>Profit Material</t>
  </si>
  <si>
    <t>Here the profit per piece is calculated. 
Profit = (Mfg. - scrap production - tool costs+ quantity x material price + special packaging &amp; transport) x profit rate / 100.</t>
  </si>
  <si>
    <t xml:space="preserve"> Here the total costs per piece per line are displayed.
Total cost per piece = cost + profit</t>
  </si>
  <si>
    <t>Costs</t>
  </si>
  <si>
    <t xml:space="preserve"> Here the total costs per line are displayed.
Total costs = number x (cost + profit)</t>
  </si>
  <si>
    <t>If required, the average material thickness of the component is entered here.</t>
  </si>
  <si>
    <t>Here the total number, i.e. how often the part occurs in total, is calculated automatically.</t>
  </si>
  <si>
    <t>Here the total weight, i.e. the individual weight multiplied by the total number, is calculated automatically</t>
  </si>
  <si>
    <t>Notes and comments can be added here</t>
  </si>
  <si>
    <t>Numbering</t>
  </si>
  <si>
    <t>weight</t>
  </si>
  <si>
    <t>length</t>
  </si>
  <si>
    <t>width</t>
  </si>
  <si>
    <t>height</t>
  </si>
  <si>
    <t>material thickness</t>
  </si>
  <si>
    <t>production process</t>
  </si>
  <si>
    <t>Total quantity</t>
  </si>
  <si>
    <t>Total weight</t>
  </si>
  <si>
    <t>Number of subassemblies</t>
  </si>
  <si>
    <t>annotations</t>
  </si>
  <si>
    <t>Images</t>
  </si>
  <si>
    <t>Benutzerdef. Ansicht</t>
  </si>
  <si>
    <t>%temp%\</t>
  </si>
  <si>
    <t>ABCD</t>
  </si>
  <si>
    <t>BCD</t>
  </si>
  <si>
    <t>Ansicht (A =  Eingabe, B = Präsi, C = Kompakt, D = Eigene)</t>
  </si>
  <si>
    <t>Abschreibung</t>
  </si>
  <si>
    <t>Lohnkosten</t>
  </si>
  <si>
    <t>LC</t>
  </si>
  <si>
    <t>Jahre</t>
  </si>
  <si>
    <t>Category</t>
  </si>
  <si>
    <t>Calculated annual quantity</t>
  </si>
  <si>
    <t>Term</t>
  </si>
  <si>
    <t>Auslastung</t>
  </si>
  <si>
    <t>Utilisation</t>
  </si>
  <si>
    <t>Production site</t>
  </si>
  <si>
    <t>Rent</t>
  </si>
  <si>
    <t>Electricity</t>
  </si>
  <si>
    <t>Imputed interest</t>
  </si>
  <si>
    <t>SG&amp;A Materials</t>
  </si>
  <si>
    <t>Customer cycle</t>
  </si>
  <si>
    <t>Customer lot</t>
  </si>
  <si>
    <t>Electricity
[kW]</t>
  </si>
  <si>
    <t>Area
[m²]</t>
  </si>
  <si>
    <t>Maintenance 
[% Invest]</t>
  </si>
  <si>
    <t>General area 
[m²]</t>
  </si>
  <si>
    <t>Imputed interest 
[%]</t>
  </si>
  <si>
    <t>Currency</t>
  </si>
  <si>
    <t>SG&amp;A: Sales &amp; Distribution [%]</t>
  </si>
  <si>
    <t>SG&amp;A: Administration [%]</t>
  </si>
  <si>
    <t>Profit [%]</t>
  </si>
  <si>
    <t>Row</t>
  </si>
  <si>
    <t>Lieferant</t>
  </si>
  <si>
    <t>Range</t>
  </si>
  <si>
    <t>Beim VVGK-Satz für Vertrieb und Versand gilt der Basissatz von 3% bei Wertschöpfung bzw. 2% bei reinem Materialanteil.</t>
  </si>
  <si>
    <t>$B$4:$C$4</t>
  </si>
  <si>
    <t>Calc. Depr. f. w.
[Years]</t>
  </si>
  <si>
    <t>Density</t>
  </si>
  <si>
    <t>Wage</t>
  </si>
  <si>
    <t>Setup Time</t>
  </si>
  <si>
    <t>Setup Workers</t>
  </si>
  <si>
    <t>Number of Workers</t>
  </si>
  <si>
    <t>Worker Qualification</t>
  </si>
  <si>
    <t>Utilisation 
[%]</t>
  </si>
  <si>
    <t>Working Days
per year</t>
  </si>
  <si>
    <t>Hours
per year</t>
  </si>
  <si>
    <t>Addition 
2 shift [%]</t>
  </si>
  <si>
    <t>Addition 
3 shift [%]</t>
  </si>
  <si>
    <t>Industrial sector</t>
  </si>
  <si>
    <t>Indirektes Personal 
Werker [h/a]</t>
  </si>
  <si>
    <t>Indirektes Personal H</t>
  </si>
  <si>
    <t>Indirektes Personal U</t>
  </si>
  <si>
    <t>High-skilled</t>
  </si>
  <si>
    <t>Indirektes Personal 
High-skilled [h/a]</t>
  </si>
  <si>
    <t>Gas</t>
  </si>
  <si>
    <t>Faktor
Gas</t>
  </si>
  <si>
    <t>mittl. Gas</t>
  </si>
  <si>
    <t>Faktor Strom</t>
  </si>
  <si>
    <t>Pfad Vorlage EBOM</t>
  </si>
  <si>
    <t>Erdgas 
[kW]</t>
  </si>
  <si>
    <t>Faktor Erdgas</t>
  </si>
  <si>
    <t>Erdgas</t>
  </si>
  <si>
    <t>Machine Data</t>
  </si>
  <si>
    <t>Material Data</t>
  </si>
  <si>
    <t>Location Data</t>
  </si>
  <si>
    <t>Natural gas 
[kW]</t>
  </si>
  <si>
    <t>\\wts\02 DATA\02 WD\02 Technologien\</t>
  </si>
  <si>
    <t>Input currency</t>
  </si>
  <si>
    <t>$B$5:$C$5</t>
  </si>
  <si>
    <t>$B$6:$C$6</t>
  </si>
  <si>
    <t>Exchange rate</t>
  </si>
  <si>
    <t>Supplier</t>
  </si>
  <si>
    <t>Hier ist die für die Kalkulation relevante Gesamtstückzahl des Teils pro Jahr einzutragen.</t>
  </si>
  <si>
    <t>Capacity utilization of machines</t>
  </si>
  <si>
    <t>Availability worker</t>
  </si>
  <si>
    <t>Working days per year</t>
  </si>
  <si>
    <t>Layers</t>
  </si>
  <si>
    <t>Labor costs machine operator</t>
  </si>
  <si>
    <t>Labor costs skilled worker/employer</t>
  </si>
  <si>
    <t>EUR/m²</t>
  </si>
  <si>
    <t>EUR/kWh</t>
  </si>
  <si>
    <t>The value for the reject rate is an empirical value (1.5% on all production levels) and is entered here.</t>
  </si>
  <si>
    <t>$B$2:$B$2</t>
  </si>
  <si>
    <t>Machine Designation</t>
  </si>
  <si>
    <t>Maschinenbezeichnung</t>
  </si>
  <si>
    <t>Investment</t>
  </si>
  <si>
    <t>Contains the years until full depreciation of the machine according to the depreciation table.</t>
  </si>
  <si>
    <t>Enthält die Jahre zur vollständigen Abschreibung der Maschine nach AfA-Tabelle.</t>
  </si>
  <si>
    <t>Imputed depreciation</t>
  </si>
  <si>
    <t>Kalk. AfA</t>
  </si>
  <si>
    <t>Area</t>
  </si>
  <si>
    <t>Consumables</t>
  </si>
  <si>
    <t>Maintenance</t>
  </si>
  <si>
    <t>Unter indirektem Personal versteht man die Tätigkeiten von z. B. Staplerfahrer in der Fertigung, Meister, Fertigungsplaner, Qualitätsingenieure usw. Die Stundenanzahl entspricht den gesamten jährlichen Stunden vom indirekten Personal die anteilig auf diese Maschine fallen. Bei der Berechnung des RSS wird diese Stundenanzahl mit dem Lohnniveau des jeweiligen Lieferanten multipliziert.</t>
  </si>
  <si>
    <t>Indirect personnel</t>
  </si>
  <si>
    <t>Indirektes Personal</t>
  </si>
  <si>
    <t>Energy for aux. Equipment</t>
  </si>
  <si>
    <t>Setup workers</t>
  </si>
  <si>
    <t>Location</t>
  </si>
  <si>
    <t>A machine operator is a trained worker. Here are the labor costs of the machine operator in 1-shift operation per hour.</t>
  </si>
  <si>
    <t>Machine Operator_x000D_
1-shift [EUR].</t>
  </si>
  <si>
    <t>Maschinenbediener
1-Schicht [EUR]</t>
  </si>
  <si>
    <t>A skilled worker is a trained worker. The labor costs for this worker are displayed here per hour (1-shift operation).</t>
  </si>
  <si>
    <t>skilled worker_x000D_
1-shift [EUR].</t>
  </si>
  <si>
    <t>Facharbeiter
1-Schicht [EUR]</t>
  </si>
  <si>
    <t>Labor costs for one semi-skilled worker per hour in 2-shift operation.</t>
  </si>
  <si>
    <t>Arbeitskosten für einen angelernten Arbeiter pro Stunde im 2-Schichtbetrieb.</t>
  </si>
  <si>
    <t>Machine Operator_x000D_
2-shift [EUR].</t>
  </si>
  <si>
    <t>Maschinenbediener
2-Schicht [EUR]</t>
  </si>
  <si>
    <t>These are the labor costs per hour for a trained worker in 2-shift operation.</t>
  </si>
  <si>
    <t>Das sind die Arbeitskosten pro Stunde für einen geschulten Arbeiter im 2-Schichtbetrieb.</t>
  </si>
  <si>
    <t>skilled worker_x000D_
2-shift [EUR].</t>
  </si>
  <si>
    <t>Facharbeiter
2-Schicht [EUR]</t>
  </si>
  <si>
    <t>Here are the labor costs per hour for a semi-skilled worker in 3-shift operation.</t>
  </si>
  <si>
    <t>Hier sind die Arbeitskosten für einen angelernten Arbeiter pro Stunde im 3-Schichtbetrieb zu finden.</t>
  </si>
  <si>
    <t>Machine Operator_x000D_
3-shift [EUR].</t>
  </si>
  <si>
    <t>Maschinenbediener
3-Schicht [EUR]</t>
  </si>
  <si>
    <t>This includes the labor costs for a trained worker per hour in 3-shift operation.</t>
  </si>
  <si>
    <t>Dies beinhaltet die Arbeitskosten für einen geschulten Arbeiter pro Stunde im 3-Schichtbetrieb.</t>
  </si>
  <si>
    <t>skilled worker_x000D_
3-shift [EUR].</t>
  </si>
  <si>
    <t>Facharbeiter
3-Schicht [EUR]</t>
  </si>
  <si>
    <t>Surcharge _x000D_
2-layer [%].</t>
  </si>
  <si>
    <t>Surcharge _x000D_
3-layer [%].</t>
  </si>
  <si>
    <t>Economic area</t>
  </si>
  <si>
    <t>The monthly rent is indicated per square meter depending on the location.</t>
  </si>
  <si>
    <t>Die Monatsmiete ist abhängig vom Standort pro Quadratmeter angegeben.</t>
  </si>
  <si>
    <t>Monthly rent _x000D_
[EUR/m²]</t>
  </si>
  <si>
    <t>Monatesmiete 
[EUR/m²]</t>
  </si>
  <si>
    <t>This is the electricity price for one kilowatt hour depending on the country of production.</t>
  </si>
  <si>
    <t>The standard rate of the SG&amp;A rate for sales and distribution is 3% for value added or 2% for raw material content.</t>
  </si>
  <si>
    <t>The SG&amp;A rate for administration is dependant on the quantity (&lt;20000, &gt;20000, &gt;100000 or &gt;500000) and are listed here for value added and raw material content.</t>
  </si>
  <si>
    <t>Die VVGK-Sätze für Verwaltung sind abhängig von der Stückzahl (&lt;20000, &gt;20000, &gt;100000 oder &gt;500000) und werden hier für Wertschöpfung und für reine Materialanteile dargestellt.</t>
  </si>
  <si>
    <t>The SG&amp;A rate for R&amp;D is dependant on the category (build to print, system supplier or high innovative product).
Again, the values are listed for Mfg. and Mat.</t>
  </si>
  <si>
    <t>Die VVGK-Sätze für F&amp;E von der Kategorie abhängig (build to print, system supplier oder high innovative product). Auch hier gibt es wieder zwei unterschiedliche Werte für FK bzw. MK.</t>
  </si>
  <si>
    <t>The profit is dependant on the category (build to print, system supplier oder high innovative product) too and is calculated for value added and raw material content separately.</t>
  </si>
  <si>
    <t>Auch der Gewinn ist von der Kategorie (build to print, system supplier oder high innovative product) abhängig und wird für Wertschöpfung bzw. reine Materialanteile einzeln berechnet.</t>
  </si>
  <si>
    <t>Auto Sync</t>
  </si>
  <si>
    <t>Auto Backup</t>
  </si>
  <si>
    <t>[Header]</t>
  </si>
  <si>
    <t>Zuschlag Sonstige (Logistik etc.)</t>
  </si>
  <si>
    <t>Sonstige</t>
  </si>
  <si>
    <t>Other</t>
  </si>
  <si>
    <t>Addition Other (Logistics etc.)</t>
  </si>
  <si>
    <t>Pictures</t>
  </si>
  <si>
    <t>32</t>
  </si>
  <si>
    <t>33</t>
  </si>
  <si>
    <t>Rüsten Maschine</t>
  </si>
  <si>
    <t>Rüsten Personal</t>
  </si>
  <si>
    <t>Ausschuss Maschine</t>
  </si>
  <si>
    <t>Overhead</t>
  </si>
  <si>
    <t>12</t>
  </si>
  <si>
    <t>25</t>
  </si>
  <si>
    <t>26</t>
  </si>
  <si>
    <t>27</t>
  </si>
  <si>
    <t>28</t>
  </si>
  <si>
    <t>29</t>
  </si>
  <si>
    <t>Weitere</t>
  </si>
  <si>
    <t>30</t>
  </si>
  <si>
    <t>31</t>
  </si>
  <si>
    <t>34</t>
  </si>
  <si>
    <t>35</t>
  </si>
  <si>
    <t>36</t>
  </si>
  <si>
    <t>37</t>
  </si>
  <si>
    <t>38</t>
  </si>
  <si>
    <t>FGK Maschine</t>
  </si>
  <si>
    <t>FGK Personal</t>
  </si>
  <si>
    <t>Selling Price</t>
  </si>
  <si>
    <t>Production Costs</t>
  </si>
  <si>
    <t>Material Costs</t>
  </si>
  <si>
    <t>Machine Costs</t>
  </si>
  <si>
    <t>Spalte</t>
  </si>
  <si>
    <t>Auss. W</t>
  </si>
  <si>
    <t>Auss. M</t>
  </si>
  <si>
    <t>Spotlight</t>
  </si>
  <si>
    <t>Split 2</t>
  </si>
  <si>
    <t>Split 1</t>
  </si>
  <si>
    <t>Kostenarten</t>
  </si>
  <si>
    <t>Komponenten</t>
  </si>
  <si>
    <t>Pfad Maschinenkarten + Technologieschnellrechner</t>
  </si>
  <si>
    <t>Materialgruppe</t>
  </si>
  <si>
    <t>Log</t>
  </si>
  <si>
    <t>\\wts\02 DATA\02 WD\02 Technologien\97 AWS Technologiedatenbank\</t>
  </si>
  <si>
    <t>\\wts\02 DATA\01 Orga\97 Projektorganisation\Projektübersicht.accdb</t>
  </si>
  <si>
    <t>Zusammenbau</t>
  </si>
  <si>
    <t>Costumer lot size</t>
  </si>
  <si>
    <t>Label EN</t>
  </si>
  <si>
    <t>Label DE</t>
  </si>
  <si>
    <t>OnAction</t>
  </si>
  <si>
    <t>ScreenTip EN</t>
  </si>
  <si>
    <t>ScreenTip DE</t>
  </si>
  <si>
    <t>Supertip EN</t>
  </si>
  <si>
    <t>Supertip DE</t>
  </si>
  <si>
    <t>btn000</t>
  </si>
  <si>
    <t>grp00</t>
  </si>
  <si>
    <t>Visible</t>
  </si>
  <si>
    <t>Enabled</t>
  </si>
  <si>
    <t>Projektvorlage auswählen</t>
  </si>
  <si>
    <t>Erweiterte Einstellungen</t>
  </si>
  <si>
    <t>Pfad Projektübersicht</t>
  </si>
  <si>
    <t>Pfad Server</t>
  </si>
  <si>
    <t>Pfad AppData (lokal)</t>
  </si>
  <si>
    <t>Pfad Backup (lokal)</t>
  </si>
  <si>
    <t>grp02</t>
  </si>
  <si>
    <t>btn10</t>
  </si>
  <si>
    <t>btn11</t>
  </si>
  <si>
    <t>Kalkulation</t>
  </si>
  <si>
    <t>btnViewA</t>
  </si>
  <si>
    <t>btnViewB</t>
  </si>
  <si>
    <t>btnViewC</t>
  </si>
  <si>
    <t>btnViewD</t>
  </si>
  <si>
    <t>btnViewEdit</t>
  </si>
  <si>
    <t>Num</t>
  </si>
  <si>
    <t>btnMHR</t>
  </si>
  <si>
    <t>btnMAT</t>
  </si>
  <si>
    <t>btnLOC</t>
  </si>
  <si>
    <t>btnTEC</t>
  </si>
  <si>
    <t>mnu_sbtPCB</t>
  </si>
  <si>
    <t>btnPCB</t>
  </si>
  <si>
    <t>Check</t>
  </si>
  <si>
    <t>btnCheckMe</t>
  </si>
  <si>
    <t>btnCheckAll</t>
  </si>
  <si>
    <t>btnCheckReset</t>
  </si>
  <si>
    <t>Reset</t>
  </si>
  <si>
    <t>Calculation</t>
  </si>
  <si>
    <t>Eingabeansicht</t>
  </si>
  <si>
    <t>Präsentationsansicht</t>
  </si>
  <si>
    <t>Kompaktansicht</t>
  </si>
  <si>
    <t>Eigene Ansicht</t>
  </si>
  <si>
    <t>Spalten</t>
  </si>
  <si>
    <t>Externes Rüsten</t>
  </si>
  <si>
    <t>Nacharbeit Ausschuss</t>
  </si>
  <si>
    <t>Vorgelagerter Materialausschuss</t>
  </si>
  <si>
    <t>Sonstige (Logistik etc.)</t>
  </si>
  <si>
    <t>Analyse</t>
  </si>
  <si>
    <t>Other (Logistics etc.)</t>
  </si>
  <si>
    <t>Columns</t>
  </si>
  <si>
    <t>Bilder umbenennen</t>
  </si>
  <si>
    <t>Ordner öffnen</t>
  </si>
  <si>
    <t>Ordnerpfad ändern</t>
  </si>
  <si>
    <t>Anlagen</t>
  </si>
  <si>
    <t>Routinen</t>
  </si>
  <si>
    <t>E-BOM importieren ...</t>
  </si>
  <si>
    <t>Import E-BOM ...</t>
  </si>
  <si>
    <t>Aktives Arbeitsblatt</t>
  </si>
  <si>
    <t>Active worksheet</t>
  </si>
  <si>
    <t>Alle Arbeitsblätter</t>
  </si>
  <si>
    <t>ProjectInit</t>
  </si>
  <si>
    <t>SettingsInit</t>
  </si>
  <si>
    <t>AnalysisInit</t>
  </si>
  <si>
    <t>CalcSetColumnVisibility</t>
  </si>
  <si>
    <t>btn_sbt00</t>
  </si>
  <si>
    <t>GenerateBomNumbering</t>
  </si>
  <si>
    <t>PicturesRename</t>
  </si>
  <si>
    <t>PicturesOpenDirectory</t>
  </si>
  <si>
    <t>PicturesSetDirectory</t>
  </si>
  <si>
    <t>xMhrInit</t>
  </si>
  <si>
    <t>xMatInit</t>
  </si>
  <si>
    <t>xLocInit</t>
  </si>
  <si>
    <t>xTecInit</t>
  </si>
  <si>
    <t>xNewEbom</t>
  </si>
  <si>
    <t>xImportEbom</t>
  </si>
  <si>
    <t>CheckReset</t>
  </si>
  <si>
    <t>btn010</t>
  </si>
  <si>
    <t>Input view</t>
  </si>
  <si>
    <t>Presentation view</t>
  </si>
  <si>
    <t>Compact view</t>
  </si>
  <si>
    <t>Custom view</t>
  </si>
  <si>
    <t>External setup</t>
  </si>
  <si>
    <t>Wear tools</t>
  </si>
  <si>
    <t>Rework on scrap</t>
  </si>
  <si>
    <t>Prior material setup</t>
  </si>
  <si>
    <t>Rename pictures</t>
  </si>
  <si>
    <t>Open folder</t>
  </si>
  <si>
    <t>grp04</t>
  </si>
  <si>
    <t>Know-How</t>
  </si>
  <si>
    <t>Add new row</t>
  </si>
  <si>
    <t>Pfad Bilderordner</t>
  </si>
  <si>
    <t>gbt0</t>
  </si>
  <si>
    <t>spr0000</t>
  </si>
  <si>
    <t>Add</t>
  </si>
  <si>
    <t>Hinzufügen</t>
  </si>
  <si>
    <t>dym010</t>
  </si>
  <si>
    <t>dym011</t>
  </si>
  <si>
    <t>Delete</t>
  </si>
  <si>
    <t>Löschen</t>
  </si>
  <si>
    <t>Klonen</t>
  </si>
  <si>
    <t>Clone</t>
  </si>
  <si>
    <t>mnu010</t>
  </si>
  <si>
    <t>grp01</t>
  </si>
  <si>
    <t>grp03</t>
  </si>
  <si>
    <t>BOM</t>
  </si>
  <si>
    <t>btn_sbt15</t>
  </si>
  <si>
    <t>Sync</t>
  </si>
  <si>
    <t>Advanced</t>
  </si>
  <si>
    <t>Erweitert</t>
  </si>
  <si>
    <t>Lieferanten klonen</t>
  </si>
  <si>
    <t>Lieferanten löschen</t>
  </si>
  <si>
    <t>Neuen Lieferanten hinzufügen</t>
  </si>
  <si>
    <t>Ansicht zurücksetzen</t>
  </si>
  <si>
    <t>Bilderordner öffnen</t>
  </si>
  <si>
    <t>Schnellüberprüfung</t>
  </si>
  <si>
    <t>Überprüfung des aktiven Arbeitsblattes</t>
  </si>
  <si>
    <t>Überprüfung aller Arbeitsblätter</t>
  </si>
  <si>
    <t>btnNewPCB</t>
  </si>
  <si>
    <t>Add new E-BOM</t>
  </si>
  <si>
    <t>Leere E-BOM einfügen</t>
  </si>
  <si>
    <t>E-BOM importieren</t>
  </si>
  <si>
    <t>E-BOM hinzufügen</t>
  </si>
  <si>
    <t>ACT-Q</t>
  </si>
  <si>
    <t>btnPic1</t>
  </si>
  <si>
    <t>btnPic2</t>
  </si>
  <si>
    <t>btnPic3</t>
  </si>
  <si>
    <t>btnNum</t>
  </si>
  <si>
    <t>Entfernt sämtliche im Rahmen der Überprüfung gesetzen Markierungen aus der Arbeitsmappe und setzt die Fehlerliste zurück</t>
  </si>
  <si>
    <t>Zurücksetzen aller Überprüfungen</t>
  </si>
  <si>
    <t>ACT-Q (Schnellkalkulation)</t>
  </si>
  <si>
    <t>ACT-X (Know-How)</t>
  </si>
  <si>
    <t>Nummeriert die Zeilen der BOM gemäß der AWS-Logik neu.</t>
  </si>
  <si>
    <t>mnuCol</t>
  </si>
  <si>
    <t>Zusätzliche Spalten</t>
  </si>
  <si>
    <t>Ein-/Ausblenden der Clusterspalten. Jede Zeile kann bis zu drei Clustern zugeordnet und entsprechend ausgewertet werden.</t>
  </si>
  <si>
    <t>mnuHlp</t>
  </si>
  <si>
    <t>Hilfeleiste ein-/ausblenden</t>
  </si>
  <si>
    <t>Help</t>
  </si>
  <si>
    <t>Hilfe</t>
  </si>
  <si>
    <t>ACT Help</t>
  </si>
  <si>
    <t>ACT Hilfe</t>
  </si>
  <si>
    <t>Dokumentation öffnen</t>
  </si>
  <si>
    <t>Get in touch</t>
  </si>
  <si>
    <t>In Kontakt treten</t>
  </si>
  <si>
    <t>Info</t>
  </si>
  <si>
    <t>Open documentation</t>
  </si>
  <si>
    <t>SetUpNewEmail</t>
  </si>
  <si>
    <t>tgbPic</t>
  </si>
  <si>
    <t>Bilderrahmen ein-/ausblenden</t>
  </si>
  <si>
    <t>Pictureframe</t>
  </si>
  <si>
    <t>Helpbar</t>
  </si>
  <si>
    <t>Hilfeleiste</t>
  </si>
  <si>
    <t>Kalkulator Name</t>
  </si>
  <si>
    <t>Kalkulator E-Mail-Adresse</t>
  </si>
  <si>
    <t>tgbInf</t>
  </si>
  <si>
    <t>btnAna</t>
  </si>
  <si>
    <t>mnuAna</t>
  </si>
  <si>
    <t>Infobar</t>
  </si>
  <si>
    <t>Infoleiste</t>
  </si>
  <si>
    <t>Infoleiste ein-/ausblenden</t>
  </si>
  <si>
    <t>Bilderrahmen</t>
  </si>
  <si>
    <t>MAT</t>
  </si>
  <si>
    <t>Material group</t>
  </si>
  <si>
    <t>LOC</t>
  </si>
  <si>
    <t>Energy 
[EUR/kWh]</t>
  </si>
  <si>
    <t>UserForm</t>
  </si>
  <si>
    <t>AnalysisSettings</t>
  </si>
  <si>
    <t>Settings</t>
  </si>
  <si>
    <t>SupplyChain</t>
  </si>
  <si>
    <t>AWS</t>
  </si>
  <si>
    <t>Projektleiter Name</t>
  </si>
  <si>
    <t>Projektleiter E-Mail-Adresse</t>
  </si>
  <si>
    <t>E-BOM</t>
  </si>
  <si>
    <t>Die Lieferanten-ID ist eine eindeutige Kennung, unter der sich der Lieferant in der Lieferantenstruktur in BOM und Kalkulation wiederfindet.
Achtung: Die ID entspricht weder automatisch der Position des Lieferanten im Prämissen-Reiter noch gibt sie Auskunft über dessen Tier-Level innerhalb der Lieferantenstruktur!</t>
  </si>
  <si>
    <t>Supplier structure</t>
  </si>
  <si>
    <t>Userform Analysis Settings</t>
  </si>
  <si>
    <t>Userform Supply Chain</t>
  </si>
  <si>
    <t>Die obere Grafik stellt die für das Bauteil hinterlegte Lieferantenstruktur dar. Per Doppelklick auf die entsprechende Grafik wird ein Lieferant aus der Lieferkette entfernt.
Unterhalb der Grafik sind die in der Kalkulation verfügbaren Lieferanten aufgelistet. Per Doppeklick wird ein Lieferant der Lieferkette hinzugefügt.
Die Länge der darstellbaren Lieferkette ist auf drei Lieferanten begrenzt.
Achtung: Die Lieferanten-ID entspricht weder automatisch der Position des Lieferanten im Prämissen-Reiter noch gibt sie Auskunft über dessen Tier-Level innerhalb der Lieferantenstruktur!</t>
  </si>
  <si>
    <t>Neu laden</t>
  </si>
  <si>
    <t>Reload</t>
  </si>
  <si>
    <t>Reload user interface</t>
  </si>
  <si>
    <t>Benutzeroberfläche neu laden</t>
  </si>
  <si>
    <t>info@aws-systemtechnik.de</t>
  </si>
  <si>
    <t>Kundenansicht ein-/ausschalten</t>
  </si>
  <si>
    <t>CalcEditCustomColumnView</t>
  </si>
  <si>
    <t>Pfad Materialpreisrechner</t>
  </si>
  <si>
    <t>Pfad Technologieschnellrechner</t>
  </si>
  <si>
    <t>in kg</t>
  </si>
  <si>
    <t>Abmessungen in mm</t>
  </si>
  <si>
    <t>Dimensions in mm</t>
  </si>
  <si>
    <t>Weight</t>
  </si>
  <si>
    <t>Purchased part</t>
  </si>
  <si>
    <t>Kaufteil</t>
  </si>
  <si>
    <t>Components</t>
  </si>
  <si>
    <t>btnSyc</t>
  </si>
  <si>
    <t>tgbSycAutoSyc</t>
  </si>
  <si>
    <t>btnSycAlt</t>
  </si>
  <si>
    <t>tgbSycAutoBcp</t>
  </si>
  <si>
    <t>Daten updaten</t>
  </si>
  <si>
    <t>Update data</t>
  </si>
  <si>
    <t>grp09</t>
  </si>
  <si>
    <t>m²</t>
  </si>
  <si>
    <t>Quelle</t>
  </si>
  <si>
    <t>Source</t>
  </si>
  <si>
    <t>String</t>
  </si>
  <si>
    <t>Datenstand</t>
  </si>
  <si>
    <t>?</t>
  </si>
  <si>
    <t>mnuMHR</t>
  </si>
  <si>
    <t>btnMHRRfs</t>
  </si>
  <si>
    <t>btnMHRDB</t>
  </si>
  <si>
    <t>btnMHRCB</t>
  </si>
  <si>
    <t>Add from DB</t>
  </si>
  <si>
    <t>Aus DB hinzufügen</t>
  </si>
  <si>
    <t>Add from Clipboard</t>
  </si>
  <si>
    <t>Aus Zwischenablage hinzufügen</t>
  </si>
  <si>
    <t>mnuMAT</t>
  </si>
  <si>
    <t>btnMATDB</t>
  </si>
  <si>
    <t>btnMATCB</t>
  </si>
  <si>
    <t>btnMATRfs</t>
  </si>
  <si>
    <t>mnuLOC</t>
  </si>
  <si>
    <t>btnLOCDB</t>
  </si>
  <si>
    <t>btnLOCCB</t>
  </si>
  <si>
    <t>btnLOCRfs</t>
  </si>
  <si>
    <t>dymMAT</t>
  </si>
  <si>
    <t>Aus MP-Rechner importieren</t>
  </si>
  <si>
    <t>Auf Updates prüfen</t>
  </si>
  <si>
    <t>Check for updates</t>
  </si>
  <si>
    <t>Import from MP-Tool</t>
  </si>
  <si>
    <t>Bauteil</t>
  </si>
  <si>
    <t>Dichte 
in kg/dm³</t>
  </si>
  <si>
    <t>Korrektur-faktor</t>
  </si>
  <si>
    <t>Masse
in g</t>
  </si>
  <si>
    <t>Masse
in kg</t>
  </si>
  <si>
    <t>Form</t>
  </si>
  <si>
    <t>Volumen
in mm³</t>
  </si>
  <si>
    <t>Ø außen</t>
  </si>
  <si>
    <t>Ø innen</t>
  </si>
  <si>
    <t>Volumen</t>
  </si>
  <si>
    <t>Masse in g</t>
  </si>
  <si>
    <t>Masse</t>
  </si>
  <si>
    <t>Part</t>
  </si>
  <si>
    <t>Shape</t>
  </si>
  <si>
    <t>Density 
in kg/dm³</t>
  </si>
  <si>
    <t>Ø outer</t>
  </si>
  <si>
    <t>Ø inner</t>
  </si>
  <si>
    <t>Correction factor</t>
  </si>
  <si>
    <t>Mass
in g</t>
  </si>
  <si>
    <t>Mass
in kg</t>
  </si>
  <si>
    <t>Volume
in mm³</t>
  </si>
  <si>
    <t>C-Parts</t>
  </si>
  <si>
    <t>Electronics</t>
  </si>
  <si>
    <t>Select project template</t>
  </si>
  <si>
    <t>ACT-Q (Quick calculation)</t>
  </si>
  <si>
    <t>Advanced Settings</t>
  </si>
  <si>
    <t>Renumbers the rows of the BOM according to the AWS logic.</t>
  </si>
  <si>
    <t>Open picture folder</t>
  </si>
  <si>
    <t>Show/hide info bar</t>
  </si>
  <si>
    <t>Add a new block</t>
  </si>
  <si>
    <t>Reset view</t>
  </si>
  <si>
    <t>Additional columns</t>
  </si>
  <si>
    <t>Rework scrap</t>
  </si>
  <si>
    <t>Upstream material scrap</t>
  </si>
  <si>
    <t>Other (logistics etc.)</t>
  </si>
  <si>
    <t>Show/hide the clustered columns. Each row can be assigned up to three clusters and evaluated accordingly.</t>
  </si>
  <si>
    <t>Insert empty E-BOM</t>
  </si>
  <si>
    <t>Import E-BOM</t>
  </si>
  <si>
    <t>Quick Review</t>
  </si>
  <si>
    <t>Review of the active worksheet</t>
  </si>
  <si>
    <t>Review of all worksheets</t>
  </si>
  <si>
    <t>Reset all reviews</t>
  </si>
  <si>
    <t>Removes all marks set during the check from the workbook and resets the error list.</t>
  </si>
  <si>
    <t>Show/hide help bar</t>
  </si>
  <si>
    <t>Activate/deactivate customer view</t>
  </si>
  <si>
    <t>Add new supplier</t>
  </si>
  <si>
    <t>Clone suppliers</t>
  </si>
  <si>
    <t>Delete suppliers</t>
  </si>
  <si>
    <t>Bestellaufwand</t>
  </si>
  <si>
    <t>Lagerart</t>
  </si>
  <si>
    <t>Prüfaufwand</t>
  </si>
  <si>
    <t>gering</t>
  </si>
  <si>
    <t>Silo</t>
  </si>
  <si>
    <t>Schüttgut</t>
  </si>
  <si>
    <t>hoch</t>
  </si>
  <si>
    <t>mittel</t>
  </si>
  <si>
    <t>Kragarmregal</t>
  </si>
  <si>
    <t>Einzelteil</t>
  </si>
  <si>
    <t>Coillager</t>
  </si>
  <si>
    <t>Coil</t>
  </si>
  <si>
    <t>Palettenlagerung mit Frontgabelstapler</t>
  </si>
  <si>
    <t>Palettenlagerung mit Regalbediengerät</t>
  </si>
  <si>
    <t>SMD Lagersystem</t>
  </si>
  <si>
    <t>Elektronik</t>
  </si>
  <si>
    <t>Kunststoff</t>
  </si>
  <si>
    <t>Kunststoff (spezifisch)</t>
  </si>
  <si>
    <t>ZSB komplex</t>
  </si>
  <si>
    <t>Assy light</t>
  </si>
  <si>
    <t>Glas</t>
  </si>
  <si>
    <t>Verbund/Natur/Textilstoffe</t>
  </si>
  <si>
    <t>Verbrauchsmaterialien &amp; Hilfsstoffe flüssig</t>
  </si>
  <si>
    <t>Verbrauchsmaterialien &amp; Hilfsstoffe fest</t>
  </si>
  <si>
    <t>Folien &amp; Papier</t>
  </si>
  <si>
    <t>Spezifikation</t>
  </si>
  <si>
    <t>Bestell-aufwand</t>
  </si>
  <si>
    <t>Spezifiaktion</t>
  </si>
  <si>
    <t>Fläche je Lagereinheit
in m²</t>
  </si>
  <si>
    <t>Menge je Lagereinheit</t>
  </si>
  <si>
    <t>Lagerreichweite</t>
  </si>
  <si>
    <t>Fläche je Lagereinheit</t>
  </si>
  <si>
    <t>Lager-reichweite
in Wochen</t>
  </si>
  <si>
    <t>Fachbodenregal</t>
  </si>
  <si>
    <t>€</t>
  </si>
  <si>
    <t>kWh</t>
  </si>
  <si>
    <t>Arbeitsplatz Einkäufer</t>
  </si>
  <si>
    <t>Prüfstand (Maße)</t>
  </si>
  <si>
    <t>Prüfstand (Gewicht)</t>
  </si>
  <si>
    <t>Prüfstand (Werkstoff)</t>
  </si>
  <si>
    <t>Prüfstand (Funktion)</t>
  </si>
  <si>
    <t>Prüfstand (Röntgen)</t>
  </si>
  <si>
    <t>Prüfstand (Magnetpulverprüfung)</t>
  </si>
  <si>
    <t>Prüfstand (Dauertest)</t>
  </si>
  <si>
    <t>Prüfstand (Farbechtheitstest)</t>
  </si>
  <si>
    <t>Prüfstand (Elekronik)</t>
  </si>
  <si>
    <t>EK</t>
  </si>
  <si>
    <t>PI</t>
  </si>
  <si>
    <t>Zu verzinsender Invest</t>
  </si>
  <si>
    <t>LA</t>
  </si>
  <si>
    <t>AfA</t>
  </si>
  <si>
    <t>keiner</t>
  </si>
  <si>
    <t>Surface area 
in mm²</t>
  </si>
  <si>
    <t>MGK Übertrag</t>
  </si>
  <si>
    <t>Einkauf</t>
  </si>
  <si>
    <t>Qualität</t>
  </si>
  <si>
    <t>Aufwand in h/Jahr</t>
  </si>
  <si>
    <t>Handling</t>
  </si>
  <si>
    <t>Handlings-aufwand</t>
  </si>
  <si>
    <t>Maße</t>
  </si>
  <si>
    <t>Werkstoff</t>
  </si>
  <si>
    <t>Funktion</t>
  </si>
  <si>
    <t>Röntgen</t>
  </si>
  <si>
    <t>Magnetpulver</t>
  </si>
  <si>
    <t>Dauertest</t>
  </si>
  <si>
    <t>Farbechtheit</t>
  </si>
  <si>
    <t>Elekronik</t>
  </si>
  <si>
    <t>Einkäufer</t>
  </si>
  <si>
    <t>Prüfingenieur</t>
  </si>
  <si>
    <t>Lagerarbeiter</t>
  </si>
  <si>
    <t>Lager-bewegung</t>
  </si>
  <si>
    <t>Practices</t>
  </si>
  <si>
    <t>dymMHR</t>
  </si>
  <si>
    <t>Import from Tool</t>
  </si>
  <si>
    <t>Aus Schnellrechner importieren</t>
  </si>
  <si>
    <t>E-Stapler</t>
  </si>
  <si>
    <t>Niederhubkommisionierer</t>
  </si>
  <si>
    <t>Deckenkran</t>
  </si>
  <si>
    <t>Gerät</t>
  </si>
  <si>
    <t>Übertrag Prüfstand</t>
  </si>
  <si>
    <t>Handlingsaufwand</t>
  </si>
  <si>
    <t>Übertrag Lagerplatz</t>
  </si>
  <si>
    <t>Q-Invest</t>
  </si>
  <si>
    <t>Q-€</t>
  </si>
  <si>
    <t>Q-kWh</t>
  </si>
  <si>
    <t>Q-m²</t>
  </si>
  <si>
    <t>L-Invest</t>
  </si>
  <si>
    <t>L-€</t>
  </si>
  <si>
    <t>L-kWh</t>
  </si>
  <si>
    <t>L-m²</t>
  </si>
  <si>
    <t>B-Invest</t>
  </si>
  <si>
    <t>B-€</t>
  </si>
  <si>
    <t>B-kWh</t>
  </si>
  <si>
    <t>B-m²</t>
  </si>
  <si>
    <t>Übertrag Lagerbediengerät</t>
  </si>
  <si>
    <t>Lagerbediengerät</t>
  </si>
  <si>
    <t>Surface treatment</t>
  </si>
  <si>
    <t>Compound materials</t>
  </si>
  <si>
    <t>Consumable materials liquid</t>
  </si>
  <si>
    <t>Consumable materials solid</t>
  </si>
  <si>
    <t>Paper &amp; Foils</t>
  </si>
  <si>
    <t>Ballen</t>
  </si>
  <si>
    <t>Oberfläche
in mm²</t>
  </si>
  <si>
    <t>T2</t>
  </si>
  <si>
    <t>T1</t>
  </si>
  <si>
    <t>Personalaufwand in h/Jahr</t>
  </si>
  <si>
    <t>Prüfstandbelegung in h/Jahr</t>
  </si>
  <si>
    <t>Stapel</t>
  </si>
  <si>
    <t>Metall Stange</t>
  </si>
  <si>
    <t>Metall Blech</t>
  </si>
  <si>
    <t>Metall Block</t>
  </si>
  <si>
    <t>Metall Pulver</t>
  </si>
  <si>
    <t>Beschichtung</t>
  </si>
  <si>
    <t>Normteil</t>
  </si>
  <si>
    <t>C-Teil</t>
  </si>
  <si>
    <t>Assy complex</t>
  </si>
  <si>
    <t>mnuON</t>
  </si>
  <si>
    <t>mnuOF</t>
  </si>
  <si>
    <t>btnONOF</t>
  </si>
  <si>
    <t>btnONON</t>
  </si>
  <si>
    <t>btnOFON</t>
  </si>
  <si>
    <t>btnOFOF</t>
  </si>
  <si>
    <t>Offline arbeiten</t>
  </si>
  <si>
    <t>Online arbeiten</t>
  </si>
  <si>
    <t>Work online</t>
  </si>
  <si>
    <t>Advanced settings</t>
  </si>
  <si>
    <t>Work offline</t>
  </si>
  <si>
    <t>Offline</t>
  </si>
  <si>
    <t>Admin E-Mail-Adresse</t>
  </si>
  <si>
    <t>Arbeitstage</t>
  </si>
  <si>
    <t>SpezBeMi</t>
  </si>
  <si>
    <t>ACT MK/SR</t>
  </si>
  <si>
    <t>ACT ID</t>
  </si>
  <si>
    <t>Stunden</t>
  </si>
  <si>
    <t>Zinssatz</t>
  </si>
  <si>
    <t>Stromkosten</t>
  </si>
  <si>
    <t>Mietkosten</t>
  </si>
  <si>
    <t>Gaskosten</t>
  </si>
  <si>
    <t>Fixkosten</t>
  </si>
  <si>
    <t>variable Kosten</t>
  </si>
  <si>
    <t>Factor natural gas</t>
  </si>
  <si>
    <t>Factor electricity</t>
  </si>
  <si>
    <t>Natural gas</t>
  </si>
  <si>
    <t>Mittlerer Stromwert</t>
  </si>
  <si>
    <t>Currenct average value</t>
  </si>
  <si>
    <t>Natural gas average value</t>
  </si>
  <si>
    <t>Mittlerer Erdgaswert</t>
  </si>
  <si>
    <t>The actual energy consumption based on nominal load and the adjustment factor.
Currenct average value = Electricity x Factor electricity</t>
  </si>
  <si>
    <t>The investment is displayed in the currency selected on the premise sheet here.
Invest = Invest in input currency x Exchange rate</t>
  </si>
  <si>
    <t>The actual energy consumption based on nominal load and the adjustment factor.
Natural gas average value = Natural gas x Factor natural gas</t>
  </si>
  <si>
    <t>Zugehöriger Schnellrecher</t>
  </si>
  <si>
    <t>Optional: Die benötigte Rüstzeit in Minuten, d.h. die Zeit in der die Maschine steht und von Mitarbeitern gerüstet wird.</t>
  </si>
  <si>
    <t>Optional: Die Anzahl der Mitarbeiter, die für das Rüsten benötigt werden.</t>
  </si>
  <si>
    <t>Optional: Die ID der Maschine in der AWS Maschinendatenbank.</t>
  </si>
  <si>
    <t>General area</t>
  </si>
  <si>
    <t>Investment (in input currency)</t>
  </si>
  <si>
    <t>Invest (in Eingabewährung)</t>
  </si>
  <si>
    <t>Optional: Die Anzahl der Mitarbeter, die zur Bedienung der Maschine benötigt werden.</t>
  </si>
  <si>
    <t>Optional: Die Qualifikation der Mitarbeter, die zur Bedienung der Maschine benötigt werden.</t>
  </si>
  <si>
    <t>Verwendung</t>
  </si>
  <si>
    <t>Schichtmodell</t>
  </si>
  <si>
    <t>Stunden pro Jahr</t>
  </si>
  <si>
    <t>Lagerbewegung</t>
  </si>
  <si>
    <t>Kapitalbindung</t>
  </si>
  <si>
    <t>Versicherung</t>
  </si>
  <si>
    <t>Lagerplatzkosten</t>
  </si>
  <si>
    <t>FixProJahr</t>
  </si>
  <si>
    <t>FixProEH</t>
  </si>
  <si>
    <t>Dies ist der Strompreis für eine Kilowattstunde abhängig vom Produktionsland.</t>
  </si>
  <si>
    <t>Erdgas 
[EUR/kWh]</t>
  </si>
  <si>
    <t>Natural gas 
[EUR/kWh]</t>
  </si>
  <si>
    <t>Dies ist der Erdgaspreis für eine Kilowattstunde abhängig vom Produktionsland.</t>
  </si>
  <si>
    <t>This is the natural gas price for one kilowatt hour depending on the country of production.</t>
  </si>
  <si>
    <t>Default-Pfad MHR</t>
  </si>
  <si>
    <t>Default-Pfad MAT</t>
  </si>
  <si>
    <t>Default-Pfad LOC</t>
  </si>
  <si>
    <t>Default-Pfad TEC</t>
  </si>
  <si>
    <t>Invest (Input)</t>
  </si>
  <si>
    <t>ZSB Elektronik</t>
  </si>
  <si>
    <t>Assy electronics</t>
  </si>
  <si>
    <t>Order effort</t>
  </si>
  <si>
    <t>Handling effort</t>
  </si>
  <si>
    <t>Inspection effort</t>
  </si>
  <si>
    <t>Specification</t>
  </si>
  <si>
    <t>Stock range_x000D_
in weeks</t>
  </si>
  <si>
    <t>Quantity per storage unit</t>
  </si>
  <si>
    <t>Area per storage unit_x000D_
in m²</t>
  </si>
  <si>
    <t>Buyer</t>
  </si>
  <si>
    <t>Inspection engineer</t>
  </si>
  <si>
    <t>Warehouse worker</t>
  </si>
  <si>
    <t>Function</t>
  </si>
  <si>
    <t>X-ray</t>
  </si>
  <si>
    <t>Magnetic powder</t>
  </si>
  <si>
    <t>Endurance test</t>
  </si>
  <si>
    <t>Interest bearing investment</t>
  </si>
  <si>
    <t>Colour fastness</t>
  </si>
  <si>
    <t>Personnel expenditure in h/year</t>
  </si>
  <si>
    <t>Test stand occupancy in h/year</t>
  </si>
  <si>
    <t>Carry forward test stand</t>
  </si>
  <si>
    <t>Carry forward storage device</t>
  </si>
  <si>
    <t>Carry forward place of storage</t>
  </si>
  <si>
    <t>Storage handling equipment</t>
  </si>
  <si>
    <t>VVGK: F &amp; E [%]</t>
  </si>
  <si>
    <t>Storage type</t>
  </si>
  <si>
    <t>$AX$9:$BA$10</t>
  </si>
  <si>
    <t>$AX$12:$BA$16</t>
  </si>
  <si>
    <t>$AX$18:$BA$21</t>
  </si>
  <si>
    <t>$AX$23:$BA$26</t>
  </si>
  <si>
    <t>Bezeichung DE</t>
  </si>
  <si>
    <t>Bezeichnung EN</t>
  </si>
  <si>
    <t>MGK: Materialgruppen</t>
  </si>
  <si>
    <t>MGK: Anlagen</t>
  </si>
  <si>
    <t>Bezeichnung DE</t>
  </si>
  <si>
    <t>Personalaufwand</t>
  </si>
  <si>
    <t>Prüfstandbelegung</t>
  </si>
  <si>
    <t>Ind. Material: Material groups</t>
  </si>
  <si>
    <t>Ind. Material: Equipment</t>
  </si>
  <si>
    <t>Description DE</t>
  </si>
  <si>
    <t>Description EN</t>
  </si>
  <si>
    <t>Personnel expenditure</t>
  </si>
  <si>
    <t>Test stand occupancy</t>
  </si>
  <si>
    <t>Fläche je Lagereinheit in m²</t>
  </si>
  <si>
    <t>Lagerreichweite in Wochen</t>
  </si>
  <si>
    <t>Administration</t>
  </si>
  <si>
    <t>Verwaltung</t>
  </si>
  <si>
    <t>Forschung &amp; Entwicklung</t>
  </si>
  <si>
    <t>Research &amp; Development</t>
  </si>
  <si>
    <t>Zur Berechnung des lieferantenspezifischen Stundensatzes im MAT-Reiter benötigter Wert.</t>
  </si>
  <si>
    <t>Distribution &amp; Shipping</t>
  </si>
  <si>
    <t>Vertrieb &amp; Versand</t>
  </si>
  <si>
    <t>Materialien, die in der Kalkulation verwendet werden, sind mit einem X markiert.</t>
  </si>
  <si>
    <t>Purchasing</t>
  </si>
  <si>
    <t>Quality</t>
  </si>
  <si>
    <t>Stock movement</t>
  </si>
  <si>
    <t>Set of data</t>
  </si>
  <si>
    <t>IMHR</t>
  </si>
  <si>
    <t xml:space="preserve"> The total Indirect Mfg. per piece is calculated here.
Indirect Mfg. = (IMHR x cycle time x factor time unit) / parts per cycle.</t>
  </si>
  <si>
    <t>Here, the machine- and country-specific indirect manufacturing costs (IMC) is transferred as an indirect manufacturing hourly rate (IMHR) from the MHR tab.</t>
  </si>
  <si>
    <t xml:space="preserve"> Here the percentage surcharge is calculated, which results from the selected supplier structure/tier structure (column BZ).
If the Tier 1 supplier produces a component himself, the value is 100%. If the supplier structure is multi-tiered, the percentage surcharges of the suppliers in the chain are added to the 100% of the manufacturer.
Example: 
Supplier structure 3-2-1
Supplier 3 (Tier 3) is manufacturer and has the costs shown in column BT. He delivers to Supplier 2 (Tier 2) and Supplier 1 (Tier 1), who in turn add surcharges for ADR, profit, MDR, logistics and scrap (see Premises tab).
</t>
  </si>
  <si>
    <t xml:space="preserve"> Here the price per piece for the respective calculation block including the tier surcharges (column BU) is displayed._x000D_
</t>
  </si>
  <si>
    <t>This shows the price for the respective calculation block including the tier surcharges (column BU).</t>
  </si>
  <si>
    <t>btnTECMHR</t>
  </si>
  <si>
    <t>btnTECMAT</t>
  </si>
  <si>
    <t>Materialpreisrechner</t>
  </si>
  <si>
    <t>Material price tools</t>
  </si>
  <si>
    <t>Technologie tools</t>
  </si>
  <si>
    <t>btnAnaAlt</t>
  </si>
  <si>
    <t>tgbPicAlt</t>
  </si>
  <si>
    <t>\\wts\02 DATA\02 WD\02 Technologien\23 Elektronik - Elektrik\</t>
  </si>
  <si>
    <t>kg</t>
  </si>
  <si>
    <t>Im Onlinemodus werden die auf dem Server hinterlegten Addins, Datenbanken und Routinen verwendet.</t>
  </si>
  <si>
    <t>Scrap before this production stage</t>
  </si>
  <si>
    <t>Hier werden die gesamten direkten Materialkosten berechnet.
Direkte Materialkosten = Anzahl x Faktor</t>
  </si>
  <si>
    <t>Hier werden die gesamten direkten Mitarbeiterkosten berechnet.
Direkte Mitarbeiterkosten = Stückzahl x AK Mitarbeiter</t>
  </si>
  <si>
    <t>Here the total direct employee costs are calculated.
Direct employee costs = quantity x LC employees</t>
  </si>
  <si>
    <t>Anteil RFGK</t>
  </si>
  <si>
    <t>Anteil MGK</t>
  </si>
  <si>
    <t>Hier wird der prozentualle Aufschlag berechnet, der sich aus der gewählten Lieferantenstruktur/Tierstruktur (Spalte BZ) ergibt.
Wenn der Lieferant der Stufe Tier 1 ein Bauteil selber herstellt, liegt der Wert bei 100 %. Bei mehrstufiger Lieferantenstruktur kommen auf die 100 % des Herstellers die prozentuallen Zuschläge der in der Kette befindlichen Lieferanten hinzu.
Beispiel: 
Lieferantenstruktur 3-2-1
Lieferant 3 (Tier 3) ist Hersteller und hat die in Spalte BT angezeigten Kosten. Er liefert an Lieferant 2 (Tier 2) und der wiederrum an Lieferant 1 (Tier 1), die ihrerseits jeweils Zuschläge für Materialausschuss, MGK, VVGK, Gewinn und Logistik aufschlagen (siehe Prämissenreiter).</t>
  </si>
  <si>
    <t>Überprüft alle Arbeitsblätter auf Fehler und Unregelmäßigkeiten.
Achtung: Die Überprüfung ersetzt nicht die manuelle Durchsicht durch den Kalkulator!</t>
  </si>
  <si>
    <t>Überprüft das aktive Arbeitsblatt auf Fehler und Unregelmäßigkeiten.
Achtung: Die Überprüfung ersetzt nicht die manuelle Durchsicht durch den Kalkulator!</t>
  </si>
  <si>
    <t>Überprüft das aktive Arbeitsblatt auf gravierende Fehler und Unregelmäßigkeiten.
Achtung: Die Überprüfung ersetzt nicht die manuelle Durchsicht durch den Kalkulator!</t>
  </si>
  <si>
    <t>Ansicht bearbeiten</t>
  </si>
  <si>
    <t>Edit view</t>
  </si>
  <si>
    <t>Selecting columns to be displayed.
If 'Custom view' is selected, the result will be saved as 'Custom view'.</t>
  </si>
  <si>
    <t>Auswählen der anzuzeigenden Spalten.
Ist die 'Eigene Ansicht' ausgewählt, wird das Ergebnis als 'Eigene Ansicht' gespeichert.</t>
  </si>
  <si>
    <t>Plastics</t>
  </si>
  <si>
    <t>Plastics high spec</t>
  </si>
  <si>
    <t>Metal rod</t>
  </si>
  <si>
    <t>Metal coil</t>
  </si>
  <si>
    <t>Metal sheet</t>
  </si>
  <si>
    <t>Metal block</t>
  </si>
  <si>
    <t>Metal powder</t>
  </si>
  <si>
    <t>ZSB einfach</t>
  </si>
  <si>
    <t>Standard parts</t>
  </si>
  <si>
    <t>Preis (Input)</t>
  </si>
  <si>
    <t>Hier wird der Materialpreis in der auf dem Prämissenblatt gewählten Währung angezeigt.
Preis = Preis in Eingabewährung x Wechselkurs</t>
  </si>
  <si>
    <t>The material price is displayed in the currency selected on the premise sheet here.
Price = Price in input currency x Exchange rate</t>
  </si>
  <si>
    <t>l</t>
  </si>
  <si>
    <t>m</t>
  </si>
  <si>
    <t>m³</t>
  </si>
  <si>
    <t>Enery</t>
  </si>
  <si>
    <t>Imputed interest rate</t>
  </si>
  <si>
    <t>Kalkulatorischer Zinssatz</t>
  </si>
  <si>
    <t>Imp. Interest 
[%]</t>
  </si>
  <si>
    <t>IMC rate</t>
  </si>
  <si>
    <t>IMC share</t>
  </si>
  <si>
    <t>Proj. Fläche
in mm²</t>
  </si>
  <si>
    <t>Ø 
außen</t>
  </si>
  <si>
    <t>Ø
innen</t>
  </si>
  <si>
    <t>Proj. area
in mm²</t>
  </si>
  <si>
    <t>Ø
outer</t>
  </si>
  <si>
    <t>Ø
inner</t>
  </si>
  <si>
    <t>Oberfläche</t>
  </si>
  <si>
    <t>Proj. Fläche</t>
  </si>
  <si>
    <t>Hier wird entsprechend der Auswahl links die Nummer der Form eingetragen, die dem Bauteil am ehesten entspricht.</t>
  </si>
  <si>
    <t>Wenn das Material im MAT-Reiter hinterlegt und dort eine dazugehörige Dichte eingetragen ist, wird diese entsprechend übernommen. 
Ansonsten ist die Dichte hier manuell einzutragen.</t>
  </si>
  <si>
    <t>Optional: Hier kann das Material des Bauteils ausgewählt werden, um die im MAT-Reiter eingetragene dazugehörige Dichte zu verwenden.</t>
  </si>
  <si>
    <t>Korrekturfaktor</t>
  </si>
  <si>
    <t>Projected area</t>
  </si>
  <si>
    <t>Projizierte Fläche</t>
  </si>
  <si>
    <t>Surface area</t>
  </si>
  <si>
    <t>Volume</t>
  </si>
  <si>
    <t>Mass in g</t>
  </si>
  <si>
    <t>Mass in kg</t>
  </si>
  <si>
    <t>Masse in kg</t>
  </si>
  <si>
    <t>Wahlweise kann hier ein Bauteil aus der BOM ausgewählt werden, um die dazugehörigen Parameter zu übernehmen.
Jede Zeile kann aber auch individuell befüllt und die Formeln entsprechend überschrieben werden.</t>
  </si>
  <si>
    <t>Mit Hilfe des Korrekturfaktors kann das Ergebnis manipuliert werden, wenn bspw. die gewählte Form nicht genau der tatsächlichen Form des Bauteils entspricht.
Achtung: Der Faktor wirkt sich immer auf alle Ergebnisspalten (Oberfläche, projizierte Fläche, Volumen und Masse) aus! Wenn nur ein bestimmtes Ergebnis manipuliert werden soll, während weitere Ergebnisse in der Kalkulation Verwendung finden, muss ggf. eine neue Zeile angelegt werden.</t>
  </si>
  <si>
    <t>Dies ist das Volumen des Bauteils unter Berücksichtigung des Korrekturfaktors.</t>
  </si>
  <si>
    <t>Dies ist die Masse des Bauteils in Gramm unter Berücksichtigung des Korrekturfaktors.</t>
  </si>
  <si>
    <t>Dies ist die Masse des Bauteils in Kilogramm unter Berücksichtigung des Korrekturfaktors.</t>
  </si>
  <si>
    <t>Dies ist die gesamte Oberfläche des Bauteils unter Berücksichtigung des Korrekturfaktors.</t>
  </si>
  <si>
    <t>Dies ist die in Werkzeugöffnungsrichtung (z) projizierte Fläche des Bauteils unter Berücksichtigung des Korrekturfaktors.</t>
  </si>
  <si>
    <t>mnuIndirectCosts</t>
  </si>
  <si>
    <t>mnuIndirectCosts1</t>
  </si>
  <si>
    <t>Ind. Material</t>
  </si>
  <si>
    <t>cbxIndirectCosts1A</t>
  </si>
  <si>
    <t>cbxIndirectCosts1B</t>
  </si>
  <si>
    <t>cbxIndirectCosts1C</t>
  </si>
  <si>
    <t>Vorgabe</t>
  </si>
  <si>
    <t>Preset</t>
  </si>
  <si>
    <t>mnuIndirectCosts2</t>
  </si>
  <si>
    <t>cbxIndirectCosts2A</t>
  </si>
  <si>
    <t>cbxIndirectCosts2B</t>
  </si>
  <si>
    <t>cbxIndirectCosts2C</t>
  </si>
  <si>
    <t>IMC</t>
  </si>
  <si>
    <t>Einstellungen Overhead</t>
  </si>
  <si>
    <t>mnuIndirectCosts3</t>
  </si>
  <si>
    <t>cbxIndirectCosts3A</t>
  </si>
  <si>
    <t>cbxIndirectCosts3B</t>
  </si>
  <si>
    <t>mnuIndirectCosts4</t>
  </si>
  <si>
    <t>cbxIndirectCosts4A</t>
  </si>
  <si>
    <t>cbxIndirectCosts4B</t>
  </si>
  <si>
    <t>SGnA</t>
  </si>
  <si>
    <t>Aufgeteilt</t>
  </si>
  <si>
    <t>Select when a fixed indirect material costs rate is to be used instead of the material-specific one. 
This must be entered accordingly for each supplier.</t>
  </si>
  <si>
    <t>Select when a fixed IMC rate is to be used instead of the machine- and country-specific individually calculated one. 
This must be entered accordingly for each supplier.</t>
  </si>
  <si>
    <t>Overhead settings</t>
  </si>
  <si>
    <t>Statt des maschinen- und länderabhängigen individuell berechneten wird ein festgesetzter RFGK-Satz verwendet. 
Dieser muss je Lieferant entsprechend eingetragen werden.</t>
  </si>
  <si>
    <t>Statt des materialspezifischen wird ein festgesetzter MGK-Satz verwendet. 
Dieser muss je Lieferant entsprechend eingetragen werden.</t>
  </si>
  <si>
    <t>Materialgemeinkosten</t>
  </si>
  <si>
    <t>Restfertigungsgemeinkosten</t>
  </si>
  <si>
    <t>Indirect manufacturing costs</t>
  </si>
  <si>
    <t>Indirect material costs</t>
  </si>
  <si>
    <t>Verwaltungs- und Vertriebsgemeinkosten</t>
  </si>
  <si>
    <t>Selling, general and administrative expenses</t>
  </si>
  <si>
    <t>Der RFGK-Anteil wird für jede eingesetzte Maschine spezifisch berechnet und dieser für die entsprechende Maschine als individueller RFGK-Satz verwendet.
Dies ist die Standardeinstellung.</t>
  </si>
  <si>
    <t>Neuen Block einfügen</t>
  </si>
  <si>
    <t>Neue Zeile einfügen</t>
  </si>
  <si>
    <t>VVGK (A = Pauschal, B = Aufteilen)</t>
  </si>
  <si>
    <t>Gewinn (A = Pauschal, B = Aufteilen)</t>
  </si>
  <si>
    <t>Der MGK-Anteil wird für jedes eingesetzte Material spezifisch berechnet und dieser für das entsprechende Material als individueller MGK-Satz verwendet.
Dies ist die Standardeinstellung.</t>
  </si>
  <si>
    <t>MGK-Anteil in €/Jahr - C-Teil</t>
  </si>
  <si>
    <t>MGK-Anteil in % - C-Teil</t>
  </si>
  <si>
    <t>MGK-Anteil in €/Einheit - C-Teil</t>
  </si>
  <si>
    <t>MGK-Anteil in €/Jahr - ZSB einfach</t>
  </si>
  <si>
    <t>MGK-Anteil in % - ZSB einfach</t>
  </si>
  <si>
    <t>MGK-Anteil in €/Einheit - ZSB einfach</t>
  </si>
  <si>
    <t>MGK-Anteil in €/Jahr - ZSB komplex</t>
  </si>
  <si>
    <t>MGK-Anteil in % - ZSB komplex</t>
  </si>
  <si>
    <t>MGK-Anteil in €/Einheit - ZSB komplex</t>
  </si>
  <si>
    <t>RFGK (A =  Auf Maschinenebene, B = Pauschal , C = Vorgabe)</t>
  </si>
  <si>
    <t>MGK (A =  Auf Materialebene, B = Pauschal , C = Vorgabe)</t>
  </si>
  <si>
    <t>Combined</t>
  </si>
  <si>
    <t>Kombiniert</t>
  </si>
  <si>
    <t>The indirect material share is calculated specifically for each material and is used as an individual indirect material rate for the corresponding material.
This is the default setting.</t>
  </si>
  <si>
    <t>The IMC share is calculated specifically for each machine and is used as an individual IMC rate for the corresponding machine.
This is the default setting.</t>
  </si>
  <si>
    <t>Split</t>
  </si>
  <si>
    <t>Ausschuss Wertschöpfung</t>
  </si>
  <si>
    <t>Ausschuss Material</t>
  </si>
  <si>
    <t>Maschinenkosten</t>
  </si>
  <si>
    <t>Rüstkosten</t>
  </si>
  <si>
    <t>Maschinenkosten inkl. Ausschuss</t>
  </si>
  <si>
    <t>Materialkosten inkl. Ausschuss</t>
  </si>
  <si>
    <t>Wzg.</t>
  </si>
  <si>
    <t>Werkzeugkosten</t>
  </si>
  <si>
    <t>Fertigungsgemeinkosten</t>
  </si>
  <si>
    <t>Materialeinzelkosten</t>
  </si>
  <si>
    <t>T-% MGK</t>
  </si>
  <si>
    <t>Link</t>
  </si>
  <si>
    <t>S-Chain</t>
  </si>
  <si>
    <t>Zukauf</t>
  </si>
  <si>
    <t>Verschleißwerkzeugkosten</t>
  </si>
  <si>
    <t>V.-Wzg.</t>
  </si>
  <si>
    <t>Gew.W</t>
  </si>
  <si>
    <t>Gew. M</t>
  </si>
  <si>
    <t>Category 1</t>
  </si>
  <si>
    <t>Category 2</t>
  </si>
  <si>
    <t>Category 3</t>
  </si>
  <si>
    <t>Premises</t>
  </si>
  <si>
    <t>Sheet</t>
  </si>
  <si>
    <t>Ind. Mfg.</t>
  </si>
  <si>
    <t>Ind. Mfg. Carryover</t>
  </si>
  <si>
    <t>Ind. personnel 
High-skilled [h/a]</t>
  </si>
  <si>
    <t>Ind. personnel 
Unskilled [h/a]</t>
  </si>
  <si>
    <t>Cast Metal</t>
  </si>
  <si>
    <t>Sheet Metal</t>
  </si>
  <si>
    <t>PremisesAddNewSupplier</t>
  </si>
  <si>
    <t>Masch.</t>
  </si>
  <si>
    <t>Mach.</t>
  </si>
  <si>
    <t>Set-up costs</t>
  </si>
  <si>
    <t>Tool costs</t>
  </si>
  <si>
    <t>Wear tool costs</t>
  </si>
  <si>
    <t>Production overheads</t>
  </si>
  <si>
    <t>Direct material costs</t>
  </si>
  <si>
    <t>Scrap material</t>
  </si>
  <si>
    <t>Bought-in</t>
  </si>
  <si>
    <t>W-Tool</t>
  </si>
  <si>
    <t>Tool</t>
  </si>
  <si>
    <t>Scrap added value</t>
  </si>
  <si>
    <t>Manufacturing costs</t>
  </si>
  <si>
    <t>Indirect material</t>
  </si>
  <si>
    <t>W-tools</t>
  </si>
  <si>
    <t>Scrap machine</t>
  </si>
  <si>
    <t>Rejects personnel</t>
  </si>
  <si>
    <t>FGK Machine</t>
  </si>
  <si>
    <t>FGK personnel</t>
  </si>
  <si>
    <t>Set-up machine</t>
  </si>
  <si>
    <t>Set-up personnel</t>
  </si>
  <si>
    <t>SG&amp;A: R &amp; D [%]</t>
  </si>
  <si>
    <t>Customer cycle time</t>
  </si>
  <si>
    <t>btnPic4</t>
  </si>
  <si>
    <t>PicturesResetDirectory</t>
  </si>
  <si>
    <t>Change picture folder path</t>
  </si>
  <si>
    <t>Pfad zum Bilderordner ändern</t>
  </si>
  <si>
    <t>Energiemix</t>
  </si>
  <si>
    <t>gCO₂eq/kWh</t>
  </si>
  <si>
    <t>CO₂-Ausstoß</t>
  </si>
  <si>
    <t>Stromkosten Energiemix</t>
  </si>
  <si>
    <t>mnuCO2</t>
  </si>
  <si>
    <t>CO₂</t>
  </si>
  <si>
    <t>cbxCO21</t>
  </si>
  <si>
    <t>cbxCO22</t>
  </si>
  <si>
    <t>Szenario aktivieren</t>
  </si>
  <si>
    <t>Activate Scenario</t>
  </si>
  <si>
    <t>CO₂ neutral</t>
  </si>
  <si>
    <t>spr0301</t>
  </si>
  <si>
    <t>Ordnerpfad zurücksetzen</t>
  </si>
  <si>
    <t>Reset picture folder path</t>
  </si>
  <si>
    <t>Pfad zum Bilderordner zurücksetzen</t>
  </si>
  <si>
    <t>Beistellteil</t>
  </si>
  <si>
    <t>Part to be provided</t>
  </si>
  <si>
    <t>Der zur ausgewählen Währung gehörende Wechselkurs (Gegenwert zu 1 EUR) ist hier einzutragen.
Achtung: Bei nachträglicher Änderung der Währung und des Wechselkurses müssen allen von Hand eingetragenen Werte überprüft und ggf. angepasst werden!</t>
  </si>
  <si>
    <t>The exchange rate belonging to the selected currency (equivalent to 1 EUR) is to be entered here. 
Please note: If the currency and the exchange rate are changed later, all values entered manually must be checked and adjusted if necessary!</t>
  </si>
  <si>
    <t>The supplier ID is a unique identifier under which the supplier can be found in the supplier structure in BOM and calculation.
Please note: The ID does not automatically correspond to the position of the supplier in the Premises tab, nor does it provide information about the supplier's tier level within the supplier structure!</t>
  </si>
  <si>
    <t>This is the currency in which the monetary values are entered in the MHR, MAT and LOC tabs.
The values in the Premises tab (column E etc.) have already been converted into the target currency. If these are adjusted manually (column D etc.), these values must also be entered in the target currency.
Please note: The input currency should be left as EUR if possible. Monetary values that are taken over from the AWS databases are always in EUR!</t>
  </si>
  <si>
    <t>Hier wird der Innovations- und Entwicklungsgrad des Lieferanten festgelegt. Dieser hat Einfluss auf die Zuschlagssätze der VVGK und des Gewinns des Lieferanten. 
Es werden drei Kategorien unterschieden:
- Build to print: Der Lieferant fertigt nach Zeichnung und hat keinen Entwicklungsaufwand
- System supplier: Der Lieferant hat Anteil am Entwicklungsaufwand und integriert unterschiedliche Funktion in die Bauteile (Beispiel Kabelbaum)
- High innovative product: Der Lieferant hat ein Alleinstellungsmerkmal und den größten Anteil am Entwicklungs- und Innovationsaufwand (Beispiel Carbon-Bremse)</t>
  </si>
  <si>
    <t>This is where the supplier's level of innovation and development is determined. This has an influence on the surcharge rates of the SG&amp;A and the supplier's profit. 
Three categories are distinguished:
- Build to print: The supplier manufactures according to the drawing and has no development effort.
- System supplier: The supplier has a share in the development effort and integrates different functions into the components (example: cable harness).
- High innovative product: The supplier has a unique selling proposition and the largest share of the development and innovation effort (example: carbon brakes).</t>
  </si>
  <si>
    <t>The utilization of the machines is assumed to be 80% on average by default, since it is difficult to plan a machine at 100% due to setup and maintenance times. However, the capacity utilization can be adjusted at any time. 
The value entered here is included in the calculation of the machine hourly rate in the MHR tab.</t>
  </si>
  <si>
    <t>Die Auslastung der Maschinen wird standardmäßig mit durchschnittlich 80% angenommen, da es aufgrund von Rüst- und Instandhaltungszeiten schwierig ist eine Maschine zu 100% zu planen. Die Auslastung kann aber jederzeit angepasst werden. 
Der hier eingetragene Wert fließt in die Berechnung des Maschinenstundensatz im Reiter MHR ein.</t>
  </si>
  <si>
    <t>Die Verfügbarkeit der Werker wird standardmäßig mit 80 % angenommen sofern keine abweichenden Angaben vorliegen. 
Die Verteilzeit des Werkers liegt somit bei 20%. Unter der Verteilzeit versteht man Zeitanteile, die nicht wertschöpfend sind, aber dennoch zur Arbeitszeit mitgerechnet werden (z.B. Besprechungen, Betreuung von Auszubildenden, Toilettenbesuche usw.). 
Der hier eingetragene Wert fließt in die Berechnung der effektiven Arbeitskosten im Reiter Calculation ein.</t>
  </si>
  <si>
    <t>Hier werden, sofern nichts anderes angegeben, standardmäßig 250 Arbeitstage pro Jahr eingetragen. 
Dies entspricht 5 von 7 Tagen pro Woche für 52 Wochen im Jahr abzüglich der Feiertage (durchschnittlich 10 pro Jahr).
Achtung: Je nach Fertigungsort können die standardmäßig angenommenen Arbeitstage pro Jahr abweichen!</t>
  </si>
  <si>
    <t>The basic shift model (1-shift, 2-shift or 3-shift) is defined here.
For individual machines, the shift model can be overwritten in the MHR tab.
For example, laboratory times can be calculated in 1-shift operation while production runs in 3-shift operation.</t>
  </si>
  <si>
    <t>Die Arbeitskosten eines Maschinenbedieners werden hier eingetragen.
In der rechten Nachbarzelle (diese ist ggf. ausgeblendet) wird der Standardwert des ausgewählten Fertigungsorts angezeigt.
Dieser kann übernommen bzw. auf diesen verlinkt werden.</t>
  </si>
  <si>
    <t>Die Arbeitskosten eines Facharbeiters/Einstellers werden hier eingetragen.
In der rechten Nachbarzelle (diese ist ggf. ausgeblendet) wird der Standardwert des ausgewählten Fertigungsorts angezeigt.
Dieser kann übernommen bzw. auf diesen verlinkt werden.</t>
  </si>
  <si>
    <t>Die Mietkosten pro m² werden hier eingetragen.
In der rechten Nachbarzelle (diese ist ggf. ausgeblendet) wird der Standardwert des ausgewählten Fertigungsorts angezeigt.
Dieser kann übernommen bzw. auf diesen verlinkt werden.</t>
  </si>
  <si>
    <t>Der Erdgaspreis pro kWh wird hier eingetragen.
In der rechten Nachbarzelle (diese ist ggf. ausgeblendet) wird der Standardwert des ausgewählten Fertigungsorts angezeigt.
Dieser kann übernommen bzw. auf diesen verlinkt werden.</t>
  </si>
  <si>
    <t>Der Strompreis pro kWh wird hier eingetragen.
In der rechten Nachbarzelle (diese ist ggf. ausgeblendet) wird der Standardwert des ausgewählten Fertigungsorts angezeigt.
Dieser kann übernommen bzw. auf diesen verlinkt werden.</t>
  </si>
  <si>
    <t>Der kalkulatorische Zinssatz wird hier eingetragen.
In der rechten Nachbarzelle (diese ist ggf. ausgeblendet) wird der Standardwert des ausgewählten Fertigungsorts angezeigt.
Dieser kann übernommen bzw. auf diesen verlinkt werden.</t>
  </si>
  <si>
    <t>The labor costs of a skilled worker/setter are entered here.
In the neighboring cell on the right (which may be hidden), the default value of the selected production location is displayed.
This can be copied or linked to.</t>
  </si>
  <si>
    <t>The labor costs of a machine operator are entered here.
In the neighboring cell on the right (which may be hidden), the default value of the selected production location is displayed.
This can be copied or linked to.</t>
  </si>
  <si>
    <t>The rental costs per m² are entered here.
In the neighboring cell on the right (which may be hidden), the default value of the selected production location is displayed.
This can be copied or linked to.</t>
  </si>
  <si>
    <t>The electricity price per kWh is entered here.
In the neighboring cell on the right (which may be hidden), the default value of the selected production location is displayed.
This can be copied or linked to.</t>
  </si>
  <si>
    <t>The natural gas price per kWh is entered here.
In the neighboring cell on the right (which may be hidden), the default value of the selected production location is displayed.
This can be copied or linked to.</t>
  </si>
  <si>
    <t>The imputed interest rate is entered here.
In the neighboring cell on the right (which may be hidden), the default value of the selected production location is displayed.
This can be copied or linked to.</t>
  </si>
  <si>
    <t>Here, unless otherwise specified, 250 working days per year are entered by default. 
This corresponds to 5 out of 7 days per week for 52 weeks per year minus public holidays (on average 10 per year).
Please note: Depending on the manufacturing location, the working days per year assumed by default may differ!</t>
  </si>
  <si>
    <t>Soll ein fixer MGK-Satz verwendet werden (siehe Menü [ACT - Prämissen - Overhead - MGK - Vorgabe]), so ist dieser hier einzutragen.
Achtung: Bleibt diese Zelle leer (eine 0 zählt in Excel als leere Zelle) wird der materialspezifische Wert verwendet.
Um mit einem MGK-Satz von 0 % zu rechnen, muss hier '0 (Hochkomma und 0) eingetragen werden!</t>
  </si>
  <si>
    <t>Soll ein fixer RFGK-Satz verwendet werden (siehe Menü [ACT - Prämissen - Overhead - RFGK - Vorgabe]), so ist dieser hier einzutragen.
Achtung: Bleibt diese Zelle leer (eine 0 zählt in Excel als leere Zelle) wird der maschinenspezifische Wert verwendet.
Um mit einem RFGK-Satz von 0 % zu rechnen, muss hier '0 (Hochkomma und 0) eingetragen werden!</t>
  </si>
  <si>
    <t>If a preset IMC rate is to be used (see menu [ACT - Premises - Overhead - IMC - Preset]), it has to be entered here.
Please note: If this cell remains empty (a 0 counts as an empty cell in Excel) the machine specific value will be used.
In order to calculate with an IMC rate of 0 %, '0 (apostrophe and 0) has to be entered here!</t>
  </si>
  <si>
    <t>If a preset indirect material rate is to be used (see menu [ACT - Premises - Overhead - Ind. Material - Preset]), it has to be entered here.
Please note: If this cell remains empty (a 0 counts as an empty cell in Excel) the machine specific value will be used.
In order to calculate with an indirect material rate of 0 %, '0 (apostrophe and 0) has to be entered here!</t>
  </si>
  <si>
    <t>Der Verwaltungs- und Vertriebsgemeinkostensatz wird hier eingetragen.
In der rechten Nachbarzelle (diese ist ggf. ausgeblendet) wird der Standardwert der ausgewählen Lieferanten-Kategorie angezeigt.
Dieser kann übernommen bzw. auf diesen verlinkt werden.</t>
  </si>
  <si>
    <t>Der Verwaltungs- und Vertriebsgemeinkostensatz auf Wertschöpfung wird hier eingetragen.
In der rechten Nachbarzelle (diese ist ggf. ausgeblendet) wird der Standardwert der ausgewählen Lieferanten-Kategorie angezeigt.
Dieser kann übernommen bzw. auf diesen verlinkt werden.</t>
  </si>
  <si>
    <t>Der Verwaltungs- und Vertriebsgemeinkostensatz auf Material wird hier eingetragen.
In der rechten Nachbarzelle (diese ist ggf. ausgeblendet) wird der Standardwert der ausgewählen Lieferanten-Kategorie angezeigt.
Dieser kann übernommen bzw. auf diesen verlinkt werden.</t>
  </si>
  <si>
    <t>Der Gewinnsatz wird hier eingetragen.
In der rechten Nachbarzelle (diese ist ggf. ausgeblendet) wird der Standardwert der ausgewählen Lieferanten-Kategorie angezeigt.
Dieser kann übernommen bzw. auf diesen verlinkt werden.</t>
  </si>
  <si>
    <t>Der Gewinnsatz auf Wertschöpfung wird hier eingetragen.
In der rechten Nachbarzelle (diese ist ggf. ausgeblendet) wird der Standardwert der ausgewählen Lieferanten-Kategorie angezeigt.
Dieser kann übernommen bzw. auf diesen verlinkt werden.</t>
  </si>
  <si>
    <t>Der Gewinnsatz auf Material wird hier eingetragen.
In der rechten Nachbarzelle (diese ist ggf. ausgeblendet) wird der Standardwert der ausgewählen Lieferanten-Kategorie angezeigt.
Dieser kann übernommen bzw. auf diesen verlinkt werden.</t>
  </si>
  <si>
    <t>Die Ausschussrate über alle Fertigungsstufen ist hier einzutragen. 
Standardmäßig wird ein Wert von 1 bis 2 % angenommen.</t>
  </si>
  <si>
    <t>The selling, general and administrative expenses rate on added value is entered here.
In the neighboring cell on the right (which may be hidden), the default value of the selected supplier category is displayed.
This can be copied or linked to.</t>
  </si>
  <si>
    <t>The selling, general and administrative expenses rate on material is entered here.
In the neighboring cell on the right (which may be hidden), the default value of the selected supplier category is displayed.
This can be copied or linked to.</t>
  </si>
  <si>
    <t>The profit rate on added value is entered here.
In the neighboring cell on the right (which may be hidden), the default value of the selected supplier category is displayed.
This can be copied or linked to.</t>
  </si>
  <si>
    <t>The profit rate on material is entered here.
In the neighboring cell on the right (which may be hidden), the default value of the selected supplier category is displayed.
This can be copied or linked to.</t>
  </si>
  <si>
    <t>Here, the supplier structure is taken over from the BOM on the basis of the IDs assigned in the Premises tab. 
Double-clicking on the corresponding cell opens the supplier structure overview, with the help of which this can be mapped.
Please note: The ID does not automatically correspond to the position of the supplier in the premise tab nor does it provide information about its tier level within the supplier structure!
Example:
1: Supplier 01 (Tier 1) manufactures the component himself [default case].
3-1: Supplier 03 (Tier 2) manufactures the component and delivers it to supplier 01 (Tier 1)
2-3-1: Supplier 02 (Tier 3) manufactures the component and delivers it to supplier 03 (Tier 2), who assembles it and delivers the intermediate product to supplier 01 (Tier 1).</t>
  </si>
  <si>
    <t>Individual costs</t>
  </si>
  <si>
    <t>Other costs rate</t>
  </si>
  <si>
    <t>Sonstige Kosten-Satz</t>
  </si>
  <si>
    <t>Individuelle Kosten</t>
  </si>
  <si>
    <t>Hier werden die gesamten sonstigen Kosten berechnet.
Sonstige Kosten = (SK + Gewinn) x Sonstige Kosten-Satz + individuelle sonstige Kosten</t>
  </si>
  <si>
    <t>Here the total other costs are calculated.
Other costs = (cost + profit) x other cost rate + individual other costs.</t>
  </si>
  <si>
    <t>Here the total direct material costs are calculated.
Direct material costs = quantity x factor</t>
  </si>
  <si>
    <t>Ein allgemeiner Satz für sonstige Kosten (bspw. Logistikkosten) kann hier eingetragen.
Dieser wird im Reiter Calculation ohne weitere Beaufschlagung auf den Endpreis aufgeschlagen.
Weiterhin können im Reiter Calculation individuelle zusätzliche Kosten eingetragen werden (siehe Menü [ACT - Kalkulation - Spalten - Sonstige (Logistik etc.])</t>
  </si>
  <si>
    <t>A general rate for other costs (e.g. logistics costs) can be entered here.
This will be added to the final price in the Calculation tab without any further markup.
Furthermore, individual additional costs can be entered in the Calculation tab (see menu [ACT - Calculation - Columns - Other (Logistics etc.]).</t>
  </si>
  <si>
    <t>This is the indirect material share in the total material costs of the respective supplier.
Depending on how the indirect material rate is formed (see menu [Premises - Overhead - Ind. Material]), this value has different meanings:
- At material level: Purely informative
- Combined: Serves as the indirect material rate for the supplier
- Preset: Equivalent to the preset value</t>
  </si>
  <si>
    <t>This is the IMC share in the total machine costs of the respective supplier.
Depending on how the IMC rate is formed (see menu [Premises - Overhead - IMC]), this value has different meanings:
- At machine level: Purely informative
- Combined: Serves as the IMC rate for the supplier
- Preset: Equivalent to the preset value</t>
  </si>
  <si>
    <t>Ind. Material Rate</t>
  </si>
  <si>
    <t>Ind. Material share</t>
  </si>
  <si>
    <t>Der Kundentakt errechnet sich aus den Prämissen und ergibt die verfügbare Zeit pro Stück.
Er dient als Orientierung, wie viel Zeit für ein Bauteil zur Verfügung steht, um die gewünschte Produktionsmenge zu erreichen.</t>
  </si>
  <si>
    <t>The customer cycle is calculated from the premises and results in the available time per piece.
It serves as an orientation as to how much time is available for a component to reach the desired production quantity.</t>
  </si>
  <si>
    <t>Hier wird die Anzahl der pro Stück benötigten Verschleißwerkzeuge eingetragen.</t>
  </si>
  <si>
    <t>Dies ist die Währung, in der die Geldwerte in den Reitern MHR, MAT und LOC eingetragen werden.
Die Werte im Reiter Premises (Spalte E etc.) sind bereits in die Zielwährung umgerechnet. Werden diese manuell angepasst (Spalte D etc.) müssen auch diese Werte in der Zielwährung eingetragen werden.
Achtung: Die Eingabewährung sollte nach Möglichkeit auf EUR belassen werden. Geldwerte, die aus den AWS Datenbanken übernommen werden, sind immer in der Währung EUR!</t>
  </si>
  <si>
    <t>Hier wird das grundsätzliche Schichtmodell (1-Schicht, 2-Schicht oder 3-Schicht) festgelegt.
Für einzelne Maschinen kann das Schichtmodell im Reiter MHR überschrieben werden.
Beispielsweise können Laborzeiten im 1-Schicht-Betrieb kalkuliert werden, während die Fertigung im 3-Schicht-Betrieb läuft.</t>
  </si>
  <si>
    <t>The selling, general and administrative expenses rate is entered here.
In the neighboring cell on the right (which may be hidden), the default value of the selected supplier category is displayed.
This can be copied or linked to.</t>
  </si>
  <si>
    <t>The profit rate is entered here.
In the neighboring cell on the right (which may be hidden), the default value of the selected supplier category is displayed.
This can be copied or linked to.</t>
  </si>
  <si>
    <t xml:space="preserve">Zur Berechnung des lieferantenspezifischen Stundensatzes im MAT-Reiter benötigter Wert.
Lieferantenspezifische Zinsaufwand pro Stunde = Zu verzinsender Invest x lieferantenspezifischer Zinssatz / (Arbeitstage pro Jahr x Verfügbarkeit)
Der zu verzinsende Prüfstandinvest ist das Summenprodukt aus der Prüfstandsbelegung und dem Prüfstandsinvest je Prüfstand geteilt durch die gesamte Prüfstandsbelegung:
Zu verzinsende Prüfstandinvest = (Belegung Prüfstand 1 x Invest Prüfstand 1 + Belegung Prüfstand 2 x Invest Prüfstand 2 + ...) / (Belegung Prüfstand 1 + Belegung Prüfstand 2 + ...)
</t>
  </si>
  <si>
    <t>Zur Berechnung des lieferantenspezifischen Stundensatzes im MAT-Reiter benötigter Wert.
Lieferantenspezifische Zinsaufwand pro Stunde = Zu verzinsender Invest x lieferantenspezifischer Zinssatz / (Arbeitstage pro Jahr x Verfügbarkeit)</t>
  </si>
  <si>
    <t>Die Laufzeit des Projektes bestimmt die gesamte Stückzahl der zu produzierenden Teile.
Bei Werkzeugumlagen ist dieses Gesamtvolumen eine Hilfestellung. 
Typische Laufzeiten für die Automobilindustrie sind fünf bis sieben Jahre.
Standardmäßig wird diese Zelle in der Kalkulation nicht verwendet und kann entsprechend leer gelassen werden.</t>
  </si>
  <si>
    <t>The duration of the project determines the total volume of parts to be produced.
For tool reallocations, this total volume is an aid. 
Typical durations for the automotive industry are five to seven years.
By default, this cell is not used in the calculation and can be left blank.</t>
  </si>
  <si>
    <t>The total number of pieces of the part per year relevant for the calculation has to be entered here.</t>
  </si>
  <si>
    <t>Hier wird die Bennenung des Lieferanten bzw. der Lieferantengruppe eingetragen.
Dies kann sowohl der Name eines spezifischen Herstellers ('XYZ GmbH') als auch eine allgemeine Bezeichnung ('Kunststoffteile Tier 2') sein.</t>
  </si>
  <si>
    <t>Here the name of the supplier or the supplier group is entered.
This can be either the name of a specific manufacturer ('XYZ Inc.') or a general designation ('Plastic parts Tier 2').</t>
  </si>
  <si>
    <t xml:space="preserve"> If a value added is entered before the production step (column AJ), these costs are converted to the parts and added to the production scrap (column AG). 
If a rework share is entered, the total production scrap is reduced by this share (AH column). This results in rework costs for these parts (column AK).
Rework costs = (NA costs + added value so far x scrap rate) / 100 x ((1 - NA share) / 100) + (machine costs + employee costs + wear tool costs) x scrap rate / 100 x ((1 - NA share) / 100)</t>
  </si>
  <si>
    <t>Here the SG&amp;A are calculated on the added value per unit.
SG&amp;A value added = (Mfg. - tool costs - production scrap) x SG&amp;A rate value added / 100</t>
  </si>
  <si>
    <t>Here the profit is calculated on material per piece. 
Profit on material = quantity x material price + special packaging &amp; transport) x profit rate material / 100</t>
  </si>
  <si>
    <t xml:space="preserve"> Here the SG&amp;A are calculated on the material per piece.
SG&amp;A material = Mat. X SG&amp;A rate material / 100</t>
  </si>
  <si>
    <t>The lot size to be used in general.
By default, this lot size is only used when a process is entered using the ACT-Q Quick Calculation Addin.</t>
  </si>
  <si>
    <t>Die grundsätzlich zu verwendende Losgröße.
Diese Losgröße findet standardmäßig nur Verwendung, wenn ein Prozess per ACT-Q Schnellkalkulation eingefügt wird.</t>
  </si>
  <si>
    <t>Optionally, a component can be selected here from the BOM in order to apply the associated parameters.
Each line can also be filled individually and the formulas overwritten accordingly.</t>
  </si>
  <si>
    <t>Here, according to the selection on the left, the number of the shape that most closely corresponds to the component is entered.</t>
  </si>
  <si>
    <t>Optional: Here the material of the component can be selected to use the associated density entered in the MAT tab.</t>
  </si>
  <si>
    <t>If the material is stored in the MAT tab and a corresponding density is entered there, this will be adopted accordingly. 
Otherwise, the density must be entered here manually.</t>
  </si>
  <si>
    <t>This is the total surface area of the component taking into account the correction factor.</t>
  </si>
  <si>
    <t>This is the area of the part projected in the mold opening direction (z), taking into account the correction factor.</t>
  </si>
  <si>
    <t>This is the volume of the component taking into account the correction factor.</t>
  </si>
  <si>
    <t>This is the mass of the component in grams, taking into account the correction factor.</t>
  </si>
  <si>
    <t>This is the mass of the component in kilograms, taking into account the correction factor.</t>
  </si>
  <si>
    <t>The correction factor can be used to manipulate the result if, for example, the selected shape does not correspond exactly to the actual shape of the component.
Please note: The factor always affects all result columns (surface, projected area, volume and mass)! If only one specific result is to be manipulated while other results are used in the calculation, a new row may have to be created.</t>
  </si>
  <si>
    <t>Blöcke und Zeilen</t>
  </si>
  <si>
    <t>Blocks and rows</t>
  </si>
  <si>
    <t>Jeder Komponente in der BOM ist genau ein Block der Kalkulation zugeordnet.
In der ersten Zeile ist blau hinterlegt die Bezeichung des Bauteils verlinkt.
Die weiteren Zeilen beschreiben entweder ein eingesetztes Material oder einen Fertigungsschritt.
Zusammenbaugruppen enthalten weiterhin eine Auflistung der beinhalteten Unterbaugruppen und Komponenten der nächsten Ebene. Deren Kosten werden allerdings hier nicht aufgeführt, der Block beschreibt ausschließlich die Aufwände der eigenen Fertigungsstufe (Montage, Testing etc.).</t>
  </si>
  <si>
    <t>Blöcke und Zeilen hinzufügen</t>
  </si>
  <si>
    <t>Adding blocks and rows</t>
  </si>
  <si>
    <t>By double-clicking on a cell in column A, individual rows can be added.
The extended right-click menu can also be used to add multiple rows and (multiple) blocks in rows with block titles. 
The number corresponds to the number of selected cells within column A.
New elements are always inserted below the first selected element.
Please note: rows should always be inserted by macro to avoid accidental insertion of rows without formulas.
Example:
By selecting the range A12:A16 and clicking on [Right Click Mene - Add 5 Rows], five additional rows will be inserted below row 12.</t>
  </si>
  <si>
    <t>CO₂ Szenario aktiv</t>
  </si>
  <si>
    <t>Standardmäßig ist hier EUR als Währungseinheit hinterlegt. 
Soll in einer anderen Währung kalkuliert werden, so muss am Anfang der Kalkulation das Währungskürzel (z.B. USD, CHF usw.) hier eingetragen werden.
Achtung: Bei nachträglicher Änderung der Währung und des Wechselkurses müssen alle von Hand eingetragenen monetären Werte überprüft und ggf. angepasst werden!</t>
  </si>
  <si>
    <t>The default currency unit is EUR. 
If you want to calculate in another currency, the currency abbreviation (e.g. USD, CHF etc.) must be entered here at the start of the calculation.
Please note: If the currency and the exchange rate are changed later, all monetary values entered manually have to be checked and adjusted if necessary!</t>
  </si>
  <si>
    <t>Indirect Costs</t>
  </si>
  <si>
    <t>CO₂
[kg/Einheit]</t>
  </si>
  <si>
    <t>CO2</t>
  </si>
  <si>
    <t>Energy mix</t>
  </si>
  <si>
    <t>Electricity costs energy mix</t>
  </si>
  <si>
    <t>Stk.</t>
  </si>
  <si>
    <t>Menge je Lagereinheit
[Stk.]</t>
  </si>
  <si>
    <t>Menge je Lagereinheit
[kg]</t>
  </si>
  <si>
    <t>Menge je Lagereinheit
[l]</t>
  </si>
  <si>
    <t>Menge je Lagereinheit
[m]</t>
  </si>
  <si>
    <t>Menge je Lagereinheit
[m²]</t>
  </si>
  <si>
    <t>Menge je Lagereinheit
[m³]</t>
  </si>
  <si>
    <t>Material costs incl. scrap</t>
  </si>
  <si>
    <t>Layout</t>
  </si>
  <si>
    <t>grp08</t>
  </si>
  <si>
    <t>Output</t>
  </si>
  <si>
    <t xml:space="preserve">Hier wird die Länge des Bauteils (Länge in x-Richtung)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
</t>
  </si>
  <si>
    <t>Hier wird die Breite des Bauteils (Länge in y-Richtung)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t>
  </si>
  <si>
    <t>Hier wird die Höhe des Bauteils (Länge in z-Richtung)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t>
  </si>
  <si>
    <t>Enter the height of the component (length along the z-Axis)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</si>
  <si>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Enter the width of the component (length along the y-Axis)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</si>
  <si>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The length of the component (length along the x-Axis) is entered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</si>
  <si>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Benennt alle Bilder im zugewiesenen Bilderordner, die in Spalte R einem Bauteil zugeordnet wurden, in den in Spalte A gebildeten Namen um.</t>
  </si>
  <si>
    <t>Spezialbetriebsmittel</t>
  </si>
  <si>
    <t>Speical equipment</t>
  </si>
  <si>
    <t>Optional: Die ID des Schnellrechners, mit Hilfe dessen die Zykluszeit berechnet wird.</t>
  </si>
  <si>
    <t>Das Datum, an dem die eingetragenen Daten zuletzt mit der dazugehörigen Datenbank abgeglichen wurden.
Achtung: Dies ist nur von Bewandtnis, wenn die Daten nicht manuell verändert wurden und entsprechend in der nächsten Spalte ein 'X' zu sehen ist.</t>
  </si>
  <si>
    <t>Maschienen, die in der Kalkulation verwendet werden, sind mit einem 'X' markiert.</t>
  </si>
  <si>
    <t>Datenherkunft</t>
  </si>
  <si>
    <t>Aus der Datenbank übernommene bzw. mit der Datenbank synchronisierte Maschinen sind mit einem 'X' markiert, manuell eingetragene oder nachträglich manipulierte Maschinen mit einem 'C'.</t>
  </si>
  <si>
    <t>Maschinenstundensatz (MSS)</t>
  </si>
  <si>
    <t>Wird lieferantenspezifisch aus den Prämissen übernommen.
Siehe Reiter 'Premises' für eine detaillierte Beschreibung.</t>
  </si>
  <si>
    <t>Fall 1: Maschine wird nicht als Spezialbetriebsmittel behandelt (Standard)
Fixkosten = ((Invest / Kalk. AfA) 
+ (Invest x 0,5 x Kalk. Zins) 
+ (Fläche x Miete x 12)) 
/ Stunden pro Jahr
Fall 2: Maschine wird als Spezialbetriebsmittel behandelt
Fixkosten = (Fläche x Miete x 12) 
/ Stunden pro Jahr</t>
  </si>
  <si>
    <t>Die Summe aus Fixkosten und variablen Kosten pro Stunde.
MSS = Fixkosten + Variable Kosten</t>
  </si>
  <si>
    <t>Kalk. AfA 
[Jahre]</t>
  </si>
  <si>
    <t>Mittl. Strom 
[kWh]</t>
  </si>
  <si>
    <t>Mittl. Erdgas 
[kWh]</t>
  </si>
  <si>
    <t>Avg. Natural gas
[kWh]</t>
  </si>
  <si>
    <t>Consumables
[% Invest]</t>
  </si>
  <si>
    <t>Variable Kosten = (Mittl. Strom x Stromkosten)
+ (Mittl. Erdgas x Erdgaskosten)
+ ((Verbrauchsmaterial x Invest)
+ (Instandhaltung x Invest))
/ Stunden pro Jahr</t>
  </si>
  <si>
    <t>Restfertigungsgemeinkosten-
stundensatz (RSS RFGK)</t>
  </si>
  <si>
    <t>Hier werden die maschinen- und länderabhängigen Restfertigungsgemeinkosten (RFGK) als Restfertigungsgemeinkostenstundensatz (RSS) aus dem MHR-Reiter übernommen.</t>
  </si>
  <si>
    <t>Optional: The required setup time in minutes, namely the time in which the machine stands still and is set up by employees.</t>
  </si>
  <si>
    <t>Optional: The number of employees required for setup.</t>
  </si>
  <si>
    <t>Optional: The number of employees required to operate the machine.</t>
  </si>
  <si>
    <t>Optional: The qualification of the employees required to operate the machine.</t>
  </si>
  <si>
    <t>Optional: The ID of the machine in the AWS machine database.</t>
  </si>
  <si>
    <t>Associated tool</t>
  </si>
  <si>
    <t>Optional: The ID of the tool used to calculate the cycle time.</t>
  </si>
  <si>
    <t>Machines used in the calculation are marked with an 'X'.</t>
  </si>
  <si>
    <t>The date when the entered data was last synchronized with the corresponding database.
Please note: This is only relevant if the data has not been modified manually and accordingly an 'X' is shown in the next column.</t>
  </si>
  <si>
    <t>Machines taken from the database or synchronized with the database are marked with an 'X', manually entered or subsequently manipulated machines with a 'C'.</t>
  </si>
  <si>
    <t>The sum of fixed costs and variable costs per hour.
MHR = Fixed costs + Variable costs</t>
  </si>
  <si>
    <t>Taken from the premises on a supplier-specific basis.
See tab 'Premises' for a detailed description.</t>
  </si>
  <si>
    <t>Machine hourly rate (MHR)</t>
  </si>
  <si>
    <t>Usage</t>
  </si>
  <si>
    <t>Data status</t>
  </si>
  <si>
    <t>Data origin</t>
  </si>
  <si>
    <t>Rental costs</t>
  </si>
  <si>
    <t>Shift model</t>
  </si>
  <si>
    <t>Hours per year</t>
  </si>
  <si>
    <t>Electricity costs</t>
  </si>
  <si>
    <t>Gas costs</t>
  </si>
  <si>
    <t>MSS: Variable Kosten</t>
  </si>
  <si>
    <t>MSS: Fixkosten</t>
  </si>
  <si>
    <t>MHR: fixed costs</t>
  </si>
  <si>
    <t>MHR: variable costs</t>
  </si>
  <si>
    <t>Indirect manufacturing hourly rate (IMHR)</t>
  </si>
  <si>
    <t>Case 1: Machine is not treated as special operating equipment (standard)
Fixed costs = ((Invest / Calcul. Depreciation) 
+ (Invest x 0.5 x Calcul. interest) 
+ (Area x Rent x 12)) 
/ hours per year
Case 2: Machine is treated as special equipment
Fixed costs = (area x rent x 12) 
/ hours per year</t>
  </si>
  <si>
    <t>Variable costs = (Average electricity x electricity costs)
+ (Average natural gas x Natural gas cost)
+ ((Consumables x Invest)
+ (Maintenance x Invest))
/ hours per year</t>
  </si>
  <si>
    <t>Locations taken from the database or synchronized with the database are marked with an 'X', manually entered or subsequently manipulated locations with a 'C'.</t>
  </si>
  <si>
    <t>Aus der Datenbank übernommene bzw. mit der Datenbank synchronisierte Standorte sind mit einem 'X' markiert, manuell eingetragene oder nachträglich manipulierte Standorte mit einem 'C'.</t>
  </si>
  <si>
    <t>Standortdaten</t>
  </si>
  <si>
    <t>Der Fertigungsstandort muss hier per Dropdown ausgewählt werden. Zum Fertigungsort müssen länderspezifische Daten in den Blättern LOC und MHR vorhanden sein bzw. eingegeben werden.</t>
  </si>
  <si>
    <t>The manufacturing country must be selected here by dropdown. For the manufacturing location, country-specific data must be available or entered in the LOC and MHR tabs.</t>
  </si>
  <si>
    <t>CO₂-Emission</t>
  </si>
  <si>
    <t>Optional: Die lokale Währung des Standorts kann hier eingetragen werden. Dies ist rein informativ.
Die Währung, in der die Kalkulationsergebnisse angezeigt werden, kann im Reiter 'Premises' geändert werden.</t>
  </si>
  <si>
    <t>Optional: The local currency of the location can be entered here. This is purely informative.
The currency in which the calculation results are displayed can be changed in the 'Premises' tab.</t>
  </si>
  <si>
    <t>Hier ist die Einheit des Materials auszuwählen.
Der eingetragene Preis bezieht sich immer auf eine Einheit des Materials, also auf ein Stück (Stk.), ein Kilogram (kg), einen Liter (l) etc.</t>
  </si>
  <si>
    <t>Preis je Einheit 
(in Eingabewährung)</t>
  </si>
  <si>
    <t>Price per unit 
(in input currency)</t>
  </si>
  <si>
    <t>Price per unit</t>
  </si>
  <si>
    <t>Preis je Einheit</t>
  </si>
  <si>
    <t>Effort in h/year</t>
  </si>
  <si>
    <t>A meaningful designation of the material is entered here. 
Please note: The designation has to be unique!</t>
  </si>
  <si>
    <t>Eine aussagekräftige Bezeichnung des Materials wird hier eingetragen. 
Achtung: Die Bezeichung muss eindeutig sein!</t>
  </si>
  <si>
    <t>Hier ist der Preis je Einheit in der Eingabewährung einzutragen.
Wenn ein Preis nur für eine individuelle bzw. eine nicht aufgelistete Einheit zur Verfügung steht (bspw. Preis je Rolle), muss dieser in die passende Einheit (bspw. Preis je m²) umgerechnet werden.</t>
  </si>
  <si>
    <t>Here the price per unit is to be entered in the input currency.
If a price is only available for an individual or unlisted unit (e.g. price per roll), it must be converted to the appropriate unit (e.g. price per m²).</t>
  </si>
  <si>
    <t>Optional: Hier kann die Dichte des Materials eingeben werden.
Eine hier eingetragene Dichte steht im Reiter 'Info' bei Auswahl des entsprechenden Materials zur Berechnung von Volumen und Gewicht direkt zur Verfügung.</t>
  </si>
  <si>
    <t>Aus der Datenbank übernommene bzw. mit der Datenbank synchronisierte Materialien sind mit einem 'X' markiert, manuell eingetragene oder nachträglich manipulierte Materialien mit einem 'C'.</t>
  </si>
  <si>
    <t>Optional: The density of the material can be entered here.
A density entered here is directly available in the 'Info' tab when selecting the corresponding material for the calculation of volume and weight.</t>
  </si>
  <si>
    <t>Die Summe der jährlich anfallenden Kosten für Einkauf, Qualität und Lagerbewegung.
Gesamt = 
Einkauf + Qualität + Lagerbewegung
Hintergrund: Aus den jährlichen Kosten und den Kosten je Einheit wird in der Kalkulation anhand des Materialpreises, der Anzahl verbauter Teile bzw. der Anteil verbrauchter Menge und der in den Prämissen festgelegten Jahresstückzahl der jeweile MGK-Satz berechnet.</t>
  </si>
  <si>
    <t>Die Summe der Kosten je Einheit für Kapitalbindung, Versicherung und Lagerplatzkosten.
Gesamt = 
Kapitalbindung + Versicherung + Lagerplatzkosten
Hintergrund: Aus den jährlichen Kosten und den Kosten je Einheit wird in der Kalkulation anhand des Materialpreises, der Anzahl verbauter Teile bzw. der Anteil verbrauchter Menge und der in den Prämissen festgelegten Jahresstückzahl der jeweile MGK-Satz berechnet.</t>
  </si>
  <si>
    <t>Die jährlich anfallenden Kosten für die Beschaffung des Materials.
Darin enthalten sind die Lohn- sowie Arbeitsplatzkosten der Beschaffung (siehe Aufwand in h/Jahr - Einkauf).</t>
  </si>
  <si>
    <t>Die jährlich anfallenden Kosten für die Wareneingangs- und Qualitätsprüfung des Materials.
Darin enthalten sind sowohl die Lohn- sowie Arbeitsplatzkosten der Prüf- und Qualitätsingenieure als auch die Betriebskosten der verwendeten Prüfstände (siehe Aufwand in h/Jahr - Qualität).</t>
  </si>
  <si>
    <t>Die je Einheit des Materials für die Kapitalbindung anfallenden Kosten.
Kapitalbindung = Kalk. Zinssatz x Lagerreichweite in Wochen / 52 x Preis je Einheit</t>
  </si>
  <si>
    <t>Die je Einheit des Materials für die Versicherung anfallenden Kosten.
Versicherung = Lagerreichweite in Wochen / 52 x 12 x 0,00026 x Preis je Einheit</t>
  </si>
  <si>
    <t>Jährliche Kosten: Gesamt</t>
  </si>
  <si>
    <t>Lieferantenspezifisch</t>
  </si>
  <si>
    <t>Jährliche Kosten: Einkauf</t>
  </si>
  <si>
    <t>Jährliche Kosten: Qualität</t>
  </si>
  <si>
    <t>Jährliche Kosten: Lagerbewegung</t>
  </si>
  <si>
    <t>Kosten je Einheit: Kapitalbindung</t>
  </si>
  <si>
    <t>Kosten je Einheit: Versicherung</t>
  </si>
  <si>
    <t>Kosten je Einheit: Lagerplatzkosten</t>
  </si>
  <si>
    <t>Kosten je Einheit: Gesamt</t>
  </si>
  <si>
    <t>Die jährlich anfallenden Kosten für das Ein-, Aus- und Umlagern des Materials.
Darin enthalten sind die Lohn- sowie Arbeitsplatzkosten der Lagerarbeiter als auch die Betriebskosten der entsprechend der Lagerart verwendeten Lagerbediengeräte (siehe Aufwand in h/Jahr - Lagerbewegung).</t>
  </si>
  <si>
    <t>Die je Einheit des Materials anfallenden Lagerplatzkosten.
Darin enthalten sind die Kosten des entsprechend der Lagerart gewählten Lagerplatzes und die Lohn- sowie Arbeitsplatzkosten der Lagerleitung über die gewählte Lagerreichweite (siehe Reiter 'IndirectCosts').</t>
  </si>
  <si>
    <t>The sum of the annual costs incurred for purchasing, quality and stock movement.
Total = 
Purchasing + Quality + Stock movement
Background: From the annual costs and the costs per unit, the respective indirect material rate is calculated in the cost estimate on the basis of the material price, the number of parts used or the proportion of used quantity and the annual number of units defined in the premises.</t>
  </si>
  <si>
    <t>The annual costs incurred for the procurement of the material.
This includes the wage costs as well as the workplace costs of procurement (see Expenditure in h/year - Purchasing).</t>
  </si>
  <si>
    <t>The annual costs incurred for the incoming goods and quality inspection of the material.
This includes both the wage and workplace costs of the testing and quality engineers as well as the operating costs of the test stands used (see Expenditure in h/year - Quality).</t>
  </si>
  <si>
    <t>The annual costs incurred for the storage, retrieval and transfer of material.
This includes the wage and workplace costs of the warehouse workers as well as the operating costs of the warehouse operating equipment used according to the type of warehouse (see Expenditure in h/year - Warehouse movement).</t>
  </si>
  <si>
    <t>The cost incurred per unit of material for capital commitment.
Capital commitment = Cost. Interest rate x stock range in weeks / 52 x price per unit</t>
  </si>
  <si>
    <t>The cost per unit of the material for insurance.
Insurance = stock range in weeks / 52 x 12 x 0.00026 x price per unit</t>
  </si>
  <si>
    <t>The storage bin costs incurred per unit of the material.
This includes the costs of the storage bin selected according to the storage type and the wage and workplace costs of the warehouse management over the selected storage range (see tab 'IndirectCosts').</t>
  </si>
  <si>
    <t>The sum of unit costs for capital commitment, insurance, and storage space costs.
Total = 
Capital commitment + Insurance + Storage space costs
Background: From the annual costs and the costs per unit, the respective indirect material rate is calculated in the cost estimate on the basis of the material price, the number of parts used or the proportion of used quantity and the annual number of units defined in the premises.</t>
  </si>
  <si>
    <t>Supplier-specific</t>
  </si>
  <si>
    <t>Annual costs: Total</t>
  </si>
  <si>
    <t>Annual costs: Purchasing</t>
  </si>
  <si>
    <t>Annual costs: Quality</t>
  </si>
  <si>
    <t>Annual cost: Stock movement</t>
  </si>
  <si>
    <t>Cost per unit: Capital commitment</t>
  </si>
  <si>
    <t>Costs per unit: Insurance</t>
  </si>
  <si>
    <t>Costs per unit: Storage space costs</t>
  </si>
  <si>
    <t>Costs per unit: Total</t>
  </si>
  <si>
    <t>Ist der praktische Erdgasverbrauch abgeleitet aus Anschlussleistung und Korrekturfaktor.
Mittlerer Erdgaswert = Erdgas x Faktor Erdgas</t>
  </si>
  <si>
    <t>Ist der praktische Stromverbrauch abgeleitet aus Anschlussleistung und Korrekturfaktor.
Mittlerer Stromwert = Strom x Faktor Strom</t>
  </si>
  <si>
    <t>Hier wird der Invest in der auf dem Prämissenblatt gewählten Währung angezeigt.
Invest = Invest in Eingabewährung x Wechselkurs</t>
  </si>
  <si>
    <t>Value needed to calculate the supplier-specific hourly rate in the MAT tab.</t>
  </si>
  <si>
    <t>Value required to calculate the supplier-specific hourly rate in the MAT tab.</t>
  </si>
  <si>
    <t>Value needed to calculate the supplier-specific hourly rate in the MAT tab.
Supplier-specific interest expense per hour = Invest to be charged interest x supplier-specific interest rate / (working days per year x availability).</t>
  </si>
  <si>
    <t>Value needed to calculate the supplier-specific hourly rate in the MAT tab.
Supplier-specific interest expense per hour = Invest to earn interest x supplier-specific interest rate / (working days per year x availability).</t>
  </si>
  <si>
    <t>Value needed to calculate the supplier-specific hourly rate in the MAT tab.
Vendor specific interest expense per hour = Interest to be paid on investment x Vendor specific interest rate / (working days per year x availability).
The test stand investment to earn interest is the sum product of the test stand occupancy and the test stand investment per test stand divided by the total test stand occupancy:
Test stand investment to be paid interest = (test stand occupancy 1 x test stand investment 1 + test stand occupancy 2 x test stand investment 2 + ...) / (test stand occupancy 1 + test stand occupancy 2 + ...)</t>
  </si>
  <si>
    <t>Die Fläche der gewählten Lagerart, die zum Lagern einer Lagereinheit benötigt wird, in m².</t>
  </si>
  <si>
    <t>Das zum Ein-, Um- und Auslagern verwendete Lagerbediengerät.
Abhängig von der gewählten Lagerart.</t>
  </si>
  <si>
    <t>Beschreibt, in welcher Form das Material vorliegt.
Die Spezifikation hat Einfluss auf die Prüfungen, die im Rahmen der Wareneingangs- und Qualitätskontrolle durchgeführt werden.</t>
  </si>
  <si>
    <t>Beschreibt, wie umfangreich das Testen des Materials im Rahmen der Wareneingangs- und Qualitätskontrolle ausfällt.
Dieser Wert beinflusst die Art und die Dauer der in Abhängigkeit der Spezifikation durchgeführten Prüfungen.</t>
  </si>
  <si>
    <t>Beschreibt, wie umfangreich der Bestellaufwand des Materials ausfällt.
Standardmaterialien, die nach Katalog bestellt werden, haben einen geringen Bestellaufwand. 
Spezielle oder individuelle Materialien, die zunächste aufwendig recherchiert und angefragt werden müssen, haben einen mittleren oder hohen Bestellaufwand.
Dieser Wert beeinflusst die Zeit, die der Einkäufer zum Bestellen des Material benötigt.</t>
  </si>
  <si>
    <t>Die Art des Lagers, das beim dauerhaften Lagern des zu Lagereinheiten zusammengefassten Materials Verwendung findet.
Die Lagerart beeinflusst die Dauer der Ein- Um- und Auslagerungsvorgänge sowie die Lagerplatzkosten.</t>
  </si>
  <si>
    <t>Anzahl an Teilen, die sich zu einer Lagereinheit zusammenfassen lassen.
Dieser Wert beschreibt einen Mittelwert, der abhängig von Größe und Gewicht der Einzelteile abweichen kann.
Ist diese Zelle leer, ist die entsprechende Einheit für Materialien dieser Gruppe standardmäßig nicht vorgesehen, kann aber bei Bedarf ergänzt werden.</t>
  </si>
  <si>
    <t>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t>
  </si>
  <si>
    <t>Describes how extensive the ordering effort of the material is.
Standard materials that are ordered from a catalog require little effort to order. 
Special or individual materials, which first have to be researched and requested at great expense, have a medium or high ordering effort.
This value influences the time required by the purchaser to order the material.</t>
  </si>
  <si>
    <t>The type of storage used in the permanent storage of material grouped into storage units.
The type of storage influences the duration of storage and retrieval operations as well as the storage space costs.</t>
  </si>
  <si>
    <t>Describes how extensive the handling of the material is.
This value influences the duration of the storage and retrieval processes.</t>
  </si>
  <si>
    <t>Describes how extensive the testing of the material is within the scope of the goods receipt and quality control.
This value influences the type and duration of the tests performed depending on the specification.</t>
  </si>
  <si>
    <t>Describes the form in which the material is present.
The specification has an influence on the tests that are carried out as part of the incoming goods and quality control.</t>
  </si>
  <si>
    <t>The time in weeks that the supplier must keep the material in stock.
This value determines the period for which costs for capital commitment and insurance as well as storage space costs are incurred.
By default, a stock range of 4 weeks is assumed.</t>
  </si>
  <si>
    <t>Number of parts that can be combined to form a storage unit.
This value describes an average value, which may differ depending on the size and weight of the individual parts.
If this cell is empty, the corresponding unit is not provided for materials of this group by default, but can be added if required.</t>
  </si>
  <si>
    <t>The area of the selected storage type needed to store a storage unit, in m².</t>
  </si>
  <si>
    <t>The storage and retrieval device used for storage, transfer and retrieval.
Depending on the selected storage type.</t>
  </si>
  <si>
    <t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t>
  </si>
  <si>
    <t>Zeigt anhand eines Wasserfalls, wie sich die Kosten in der aktiven Zelle zusammensetzen.
Oben links lassen sich die Tier-Stufe (soweit vorhanden), die Anzahl und die Einheit anpassen.
Oben mittig lässt sich die grundlegende Darstellung auswählen. Zur Verfügung stehen Cost Split 1 (AWS Standard), Cost Split 2 und ein Komponenten-Split.
Letzterer beschreibt standardmäßig die Top 10 Komponenten. Die anzuzeigenden Bauteile können aber über den Baum (standardmäßig ausgeblendet) angepasst werden.
Oben rechts kann die aktuelle Darstellung in die Zwischenablage kopiert (links), die Zusammensetzung des Wasserfalls angepasst (mittig) oder der Baum ein- bzw. ausgeblendet werden (rechts).
Der Baum ist entsprechend der BOM aufgebaut und bietet die Möglichkeit durch An- bzw. Abwählen einzelne Unterbaugruppen oder Komponenten auszuschließen sowie per Klick auf ein Element die Zusammensetzung eines anderen Preises anzuzeigen. Weiterhin lässt sich die Preiszusammensetzung auf bestimmte Cluster beschränken, soweit diese entsprechend zugeordnet wurden (siehe Reiter 'Cluster').</t>
  </si>
  <si>
    <t>Mit einem Haken markierte Elemente werden im Wasserfall angezeigt, nicht angehakte Elemente ausgeblendet.
Einige Elemente lassen sich nicht abhaken. Ist mindestens eine, aber nicht alle Unterkategorien einer Oberkategorie angehakt, werden die restlichen Werte als 'Weitere' zusammengefasst.
Durch Doppelklick lässt sich ein Elemente hervorheben. Ein hervorgehobenes (mit einem Stern markiertes) Element wird im Wasserfall innerhalb des Summenbalkens als Teilmenge angezeigt.
Durch Klick auf den Button unten rechts wird die Auswahl zurückgesetzt.</t>
  </si>
  <si>
    <t>Elements marked with a check mark are displayed in the waterfall, unchecked elements are hidden.
Some elements cannot be checked off. If at least one, but not all subcategories of a supercategory are checked, the remaining values are summarized as 'More'.
An element can be highlighted by double-clicking on it. A highlighted element (marked with an asterisk) is displayed in the waterfall within the summary bar as a subset.
Clicking the button at the bottom right resets the selection.</t>
  </si>
  <si>
    <t>Shows by means of a waterfall how the costs in the active cell are composed.
At the top left, you can adjust the animal level (if available), the number and the unit.
At the top center, you can select the basic display. Cost split 1 (AWS default), cost split 2 and a component split are available.
The latter describes the top 10 components by default. However, the components to be displayed can be customized via the tree (hidden by default).
On the top right, the current display can be copied to the clipboard (left), the composition of the waterfall can be adjusted (center), or the tree can be shown or hidden (right).
The tree is structured according to the BOM and offers the possibility to exclude single subassemblies or components by selecting or deselecting them as well as to display the composition of another price by clicking on an element. Furthermore, the price composition can be limited to certain clusters, as far as these have been assigned accordingly (see tab 'Cluster').</t>
  </si>
  <si>
    <t>Names and e-mail addresses of project manager and calculator are stored to allow the customer a direct contact (Help - Get in touch).
Adjustments to the paths stored here are only necessary if the ACT is used in a different network environment.
Paths to project-specific databases are defined by the PL and automatically included by selecting the correct project template.
By clicking on a value in the first column it can be adjusted. By confirming the changes with OK, they are applied.</t>
  </si>
  <si>
    <t>Namen und E-Mail-Adressen von Projektleiter und Kalkulator werden hinterlegt, um dem Kunden einen direkten Kontakt (Hilfe - In Kontakt treten) zu ermöglichen.
Anpassungen an den hier hinterlegten Pfaden sind nur notwendig, wenn das ACT in einer anderen Netzwerkumgebung verwendet wird.
Pfade zu projektspezifischen Datenbanken werden vom PL festgelegt und durch Auswahl der korrekten Projektvorlage automatisch eingebunden.
Durch Klicken auf einen Wert in der erste Spalte lässt sich dieser anpassen. Durch Bestätigen der Änderungen mit OK werden diese übernommen.</t>
  </si>
  <si>
    <t>Allg. Energie, Leistung Hilfs- und Prüfgeräte
[kWh]</t>
  </si>
  <si>
    <t>General energy, power auxiliary and test equip.
[kWh]</t>
  </si>
  <si>
    <t>General operation costs</t>
  </si>
  <si>
    <t>Allgemeine Betriebskosten</t>
  </si>
  <si>
    <t>Allgemein</t>
  </si>
  <si>
    <t>Die allgemeinen Betriebskosten beinhaltet alle sonstigen anfallenden Kosten, wie beispielsweise die jährlichen Entsorgungskosten von an dieser Maschine anfallenden Abfällen und Verpackungen.</t>
  </si>
  <si>
    <t>General operating costs include all other costs incurred, such as the annual disposal costs of waste and packaging generated at this machine.</t>
  </si>
  <si>
    <t>Auxilliary and test equipment</t>
  </si>
  <si>
    <t>Hilfs- und Prüfgeräte</t>
  </si>
  <si>
    <t>Die Kosten für Hilfs- und Prüfgeräte enthalten für diese Maschine anteiligen jährlichen Kosten für Hilfsgeräte (Ameisen, Stapler, Deckenkran etc.) sowie für verwendete Prüfgeräte.</t>
  </si>
  <si>
    <t>Zu den allgemeinen Flächen zählen z.B. Transportwege zwischen den Maschinen, anteilige Sozialräume (Teeküche, Kantine etc.) sowie anteilige Büroräume von Meister, Fertigungsplaner, Qualitätsingenieur etc.</t>
  </si>
  <si>
    <t>The general areas include, for example, transport routes between the machines, proportionate social rooms (tea kitchen, canteen etc.) as well as proportionate offices of the master craftsman, production planner, quality engineer etc.</t>
  </si>
  <si>
    <t>The cost of auxiliary and test equipment includes prorated annual costs for auxiliary equipment (ants, forklift, overhead crane etc.) as well as the test equipment used for this machine.</t>
  </si>
  <si>
    <t>Allg. Energie, Leistung Hilfs- und Prüfgeräte</t>
  </si>
  <si>
    <t>Der anteilige Energieverbrauch der Hilfs- und Prüfgeräte sowie der Anteil an der durch die allgemeine Fläche verbrauchten Energie.</t>
  </si>
  <si>
    <t>The proportionate energy consumption of auxiliary and test equipment as well as the proportion of energy consumed by the general area.</t>
  </si>
  <si>
    <t>Unter indirektem Personal versteht man die Tätigkeiten von z. B. Staplerfahrer in der Fertigung, Meister, Fertigungsplaner, Qualitätsingenieure usw. 
Die Stundenanzahl entspricht den gesamten jährlichen Stunden vom indirekten Personal die anteilig auf diese Maschine fallen. 
Bei der Berechnung des RSS wird diese Stundenanzahl mit dem Lohnniveau des jeweiligen Lieferanten multipliziert.</t>
  </si>
  <si>
    <t>Eine aussagekräftige Bezeichnung der Maschine wird hier eingetragen.
Neben der Korrekten Benennung sollten auch weitere Informationen wie der Name des Herstellers oder zentrale Spezifikationen (Pressenkraft, Abmaße der Tischfläche etc.) integriert werden.
Achtung: Die Bezeichung muss eindeutig sein!</t>
  </si>
  <si>
    <t>A meaningful designation of the machine is entered here.
In addition to the correct designation, further information such as the name of the manufacturer or central specifications (press force, dimensions of the table area etc.) should also be integrated.
Please note: The designation has to be unique!</t>
  </si>
  <si>
    <t>Each component in the BOM is assigned exactly one block of the calculation.
In the first row, highlighted in blue, the description of the component is linked.
The other rows describe either a material used or a production step.
Assemblies also contain a list of the sub-assemblies and components one level below. However, their costs are not listed here, the block describes only the expenses of the given stage of production (assembly, testing etc.).</t>
  </si>
  <si>
    <t>The availability of the workers is assumed to be 80% by default unless otherwise specified. 
The distribution time of the worker is therefore 20%. 
The distribution time is understood to be time portions that are not value-adding but are nevertheless included in the working time (e.g. meetings, supervision of trainees, visits to the toilet etc.). 
The value entered here flows into the calculation of the effective labor costs in the Calculation tab.</t>
  </si>
  <si>
    <t>Indirect personnel refers to the activities of, for example, forklift drivers in production, foremen, production planners, quality engineers etc. 
The number of hours corresponds to the total annual hours of indirect personnel proportionally allocated to this machine. 
When calculating the IMHR, this number of hours is multiplied by the wage level of the respective supplier.</t>
  </si>
  <si>
    <t>Indirect personnel refers to the activities of, for example, forklift drivers in production, foremen, production planners, quality engineers etc. The number of hours corresponds to the total annual hours of indirect personnel proportionally allocated to this machine. When calculating the RSS, this number of hours is multiplied by the wage level of the respective supplier.</t>
  </si>
  <si>
    <t>Select the unit of the material here.
The entered price always refers to a unit of the material, i.e. to one piece (pcs.), one kilogram (kg), one liter (l) etc.</t>
  </si>
  <si>
    <t>Der Korrekturfaktor für den tatsächlichen Stromverbrauch, da in der Realität die Maschine nicht andauernd auf Maximalleistung läuft. 
Standardmäßig werden hier 0,5 (entspricht 50 %) eingetragen, dies kann aber stark variieren. Für einen Schmelzofen wird beispielsweise ein weit höherer Faktor angesetzt.</t>
  </si>
  <si>
    <t>The correction factor for the actual power consumption, since in reality the machine does not run at maximum power all the time. 
By default, 0.5 (corresponds to 50 %) is entered here, but this can vary greatly. For a melting furnace, for example, a much higher factor is applied.</t>
  </si>
  <si>
    <t>Der Korrekturfaktor für den tatsächlichen Erdgasverbrauch, da in der Realität die Maschine nicht andauernd auf Maximalleistung läuft. 
Standardmäßig werden hier 0,5 (entspricht 50 %) eingetragen, dies kann aber stark variieren. Für einen Schmelzofen wird beispielsweise ein weit höherer Faktor angesetzt.</t>
  </si>
  <si>
    <t>The correction factor for the actual natural gas consumption, since in reality the machine does not run at maximum power all the time. 
By default, 0.5 (corresponds to 50 %) is entered here, but this can vary greatly. For a melting furnace, for example, a much higher factor is applied.</t>
  </si>
  <si>
    <t>The area contains the space taken up by the machine plus the additional space required (rough rule of thumb plus approx. 1 m each) around the machine for installation and shunting areas.</t>
  </si>
  <si>
    <t>Die Fläche enthält den von der Maschine eingenommen Platz plus zusätzlichen benötigten Platz (grobe Faustformel jeweils plus ca. 1 m) um die Maschine herum für Aufstell- und Rangierflächen.</t>
  </si>
  <si>
    <t>Die jährliche Instandhaltung der Maschine liegt standardmäßig bei 3,8%. 
Der Prozentsatz bezieht sich auf den Invest und beschreibt die jährlich umgelegten Kosten.</t>
  </si>
  <si>
    <t>Verbrauchsmaterialien sind z. B. Verschleißwerkzeuge, Öl, Wasser, Druckluft etc. 
Der Prozentsatz bezieht sich auf den Invest und beschreibt die jährlich umgelegten Kosten.</t>
  </si>
  <si>
    <t>The standard annual maintenance of the machine is 3.8%. 
This percentage relates to the investment and describes the costs allocated annually.</t>
  </si>
  <si>
    <t>Consumables are wear tools, oil, water, compressed air etc. 
This percentage relates to the investment and describes the costs allocated annually.</t>
  </si>
  <si>
    <t>In den Investitionskosten sind alle Kosten enthalten, die zum Aufstellen einer Maschine benötigt werden. 
Enthalten sind ensprechend auch Kosten für Transport, Inbetriebnahme, Montage, nötigen Schulungen des Personals etc.</t>
  </si>
  <si>
    <t>The investment costs include all costs required for the installation of a machine. 
Accordingly, costs for transport, commissioning, assembly, necessary training of personnel, etc. are also included.</t>
  </si>
  <si>
    <t>A meaningful designation of the location is entered here. 
Please note: The designation has to be unique!</t>
  </si>
  <si>
    <t>Eine aussagekräftige Bezeichnung des Standorts wird hier eingetragen. 
Achtung: Die Bezeichung muss eindeutig sein!</t>
  </si>
  <si>
    <t>Unter Maschinenbediener versteht man einen angelernten Arbeiter. 
Hier stehen die Arbeitskosten des Maschinenbedieners im 1-Schichtbetrieb pro Stunde.</t>
  </si>
  <si>
    <t>Ein Facharbeiter ist ein geschulter Arbeiter. 
Die Arbeitskosten für diesen Arbeiter werden hier pro Stunde angezeigt (1-Schichtbetrieb).</t>
  </si>
  <si>
    <t>Dieser Wert dient dazu, den Lohnzuschlag für die zweite Schicht zu erfassen. 
Es ist darauf zu achten, dass dieser Zuschlag auf die erste und zweite Schicht aufgeschlagen wird. D.h. hier steht nicht der Wert, der nur auf die zweite Schicht aufgeschlagen wird sondern ein niedriger Wert (die Hälfte), der auf beide Schichten aufgeschlagen wird, um in Summe auf die richtigen Lohnkosten zu kommen.</t>
  </si>
  <si>
    <t>This value is used to record the wage supplement for the second shift. 
However, it is important to note that this supplement is added to the first and second shift. This means that here is not the value, which is only added to the second layer, but a lower value (half), which is added to both layers, in order to arrive at the correct wage costs.</t>
  </si>
  <si>
    <t>Durch diesen Wert wird die Lohnbezuschlagung für die dritte Schicht erfasst. 
Auch hier ist wieder darauf zu achten, dass dieser Wert nicht der absolute Zuschlag für die dritte Schicht ist, sondern auf alle drei Schichten beaufschlagt wird. Deswegen muss der hier eingetragene Wert niedriger sein (ein Drittel) als die eigentliche Schichtbezuschlagung für die dritte Schicht, damit in Summe die Lohnkosten den richtigen Wert haben.</t>
  </si>
  <si>
    <t>This value is used to record the wage allocation for the third shift. 
Again, make sure that this value is not the absolute value for the third layer, but is applied to all three layers. Therefore, the value entered here must be lower (one third) than the actual layer allowance for the third layer, so that the total wage costs have the correct value.</t>
  </si>
  <si>
    <t>Hier ist der Wirschaftsbereich einzutragen. 
Meistens handelt es sich um allgemeine industrielle Fertigung ('Industrie') oder den Automobilsektor ('Automotive').</t>
  </si>
  <si>
    <t>The Economic area is entered here.
In most cases it is general industrial manufacturing ('Industry') or the automotive sector ('Automotive').</t>
  </si>
  <si>
    <t>Auch der kalkulatorische Zins ist länderabhängig. 
Dieser wird berechnet aus dem aktuellen Zinssatz für 10-jährige Staatsanleihen plus 1 % Risikoaufschlag.</t>
  </si>
  <si>
    <t>The calculatory interest rate also depends on the country. 
This is calculated from the current interest rate for 10-year government bonds plus a 1% risk markup.</t>
  </si>
  <si>
    <t>Hier wird automatisch die Anzahl der in dem jeweiligen Bauteil vorhanden Unterbaugruppen (nur Unterbaugruppen der nächsten Strukturstufe) berechnet.
Dies ist insbesondere für die Berechnung der Montagezeiten nützlich.</t>
  </si>
  <si>
    <t>The number of subassemblies (only subassemblies of the next structural level) present in the respective part is automatically calculated here. 
This is especially useful for the calculation of assembly times</t>
  </si>
  <si>
    <t>The weight of the component in kg must be entered here. 
The weight refers to one component, regardless of the number of components used. The total weight is automatically calculated in column O.</t>
  </si>
  <si>
    <t>Das Gewicht des Bauteils in kg ist hier einzutragen. 
Das Gewicht bezieht sich auf ein Bauteil, unabhängig von der Anzahl verbauter Teile. Das Gesamtgewicht wird in Spalte O automatisch berechnet.</t>
  </si>
  <si>
    <t>The number of the component must be entered here. 
The number refers to the occurrence of the part in a unit of the next higher assembly. The total number is automatically calculated in column N. 
Example: 
A sheet is included 15 times in the ZSB sheet package. The ZSB sheet metal package is contained four times in the ZSB rotor. The ZSB rotor is included once in the ZSB motor. This means that although a total of (15 x 4 x 1) = 60 laminations is required, only the 15 sheets that are installed in a ZSB rotor are entered here.</t>
  </si>
  <si>
    <t>Structural level</t>
  </si>
  <si>
    <t>Hier wird die Nummer des Teils eingetragen.
Die Nummer kann entweder im Format (01-01-01 …) über das Num-Makro automatisch generiert oder manuell (beispielsweise entsprechend einer vorhanden Lieferantennummerierung) eingetragen werden.
Achtung: Die Nummerierung muss eindeutig sein!</t>
  </si>
  <si>
    <t>The number of the part is entered here.
The number can either be generated automatically in the format (01-01-01 ...) using the Num-Macro or entered manually (e.g. according to an existing supplier numbering).
Please note: The numbering has to be unique!</t>
  </si>
  <si>
    <t>Here - composed of numbering and designation - the name of the component (which is unique thanks to the numbering) is displayed. 
This column has to be used for all links (VLOOKUP etc.) to avoid wrong assignments.</t>
  </si>
  <si>
    <t>Hier wird die Anzahl des Rohstoffs bzw. Kaufteils bezogen auf die Einheit eingetragen.
Im Reiter 'Info' kann bei Bedarf die benötigte Menge abgeschätzt werden.
Achtung: Beim Einsatzgewicht ist zu beachten, dass hier das ursprüngliche Gewicht, also das Gewicht vor dem Ur- bzw. Umformen einzutragen ist!</t>
  </si>
  <si>
    <t>If, in addition to the material already considered in this manufacturing step (column AQ), the component contains additional (raw) material from a previous value creation step, this value has to be entered here to calculate the scrap rate correctly.</t>
  </si>
  <si>
    <t>Die Materialkosten (MK) ergeben sich aus den Materialeinzelkosten (MEK) und den Materialgemeinkosten (MGK).
MK = Menge x Materialpreis + Ausschuss Material + MGK</t>
  </si>
  <si>
    <t>Die Materialgemeinkosten (MGK) pro Stück werden hier berechnet. 
MGK = (Menge x Preis + Ausschuss Material) x MGK-Satz</t>
  </si>
  <si>
    <t>Der Verwaltungs- und Vertriebsgemeinkostensatz (VVGK) auf Material wird aus den Prämissen übernommen.
Siehe Reiter 'Premises' für eine detaillierte Beschreibung.</t>
  </si>
  <si>
    <t>Der Verwaltungs- und Vertriebsgemeinkostensatz (VVGK) auf Wertschöpfung wird aus den Prämissen übernommen.
Siehe Reiter 'Premises' für eine detaillierte Beschreibung.</t>
  </si>
  <si>
    <t>Der Verwaltungs- und Vertriebsgemeinkostensatz (VVGK) wird aus den Prämissen übernommen.
Siehe Reiter 'Premises' für eine detaillierte Beschreibung.</t>
  </si>
  <si>
    <t>Der Gewinn-Satz auf Material wird aus den Prämissen übernommen.
Siehe Reiter 'Premises' für eine detaillierte Beschreibung.</t>
  </si>
  <si>
    <t>Der Gewinn-Satz auf Wertschöpfung wird aus den Prämissen übernommen.
Siehe Reiter 'Premises' für eine detaillierte Beschreibung.</t>
  </si>
  <si>
    <t>Der Gewinn-Satz wird aus den Prämissen übernommen.
Siehe Reiter 'Premises' für eine detaillierte Beschreibung.</t>
  </si>
  <si>
    <t>Other costs incurred individually can be entered here.
These costs are not charged and are directly included in the part price.
Please note: If the component is not manufactured by the tier 1 supplier and is further allocated within the supplier structure, the costs entered here will also be allocated.
Costs that are to be included in the final price without being allocated must be entered in a block of the Tier 1 supplier (preferably in the first block)!</t>
  </si>
  <si>
    <t>Hier können individuell anfallende sonstige Kosten eingetragen werden.
Diese Kosten werden nicht beaufschlagt und gehen direkt in den Teilepreis ein.
Achtung: Wird das Bauteil nicht vom Tier 1 Lieferanten hergestellt und wird entsprechend innerhalb der Lieferantenstruktur weiter beaufschlagt, werden auch die hier eingetragenen Kosten beaufschlagt.
Kosten, die unbeaufschlagt in den Endpreis eingehen sollen, müssen entsprechend in einen Block des Tier 1 Lieferanten (am besten in den ersten Block) eingetragen werden!</t>
  </si>
  <si>
    <t>Hier wird der allgemeine Satz für sonstige Kosten aus den Premissen übernommen, falls dieser festgelegt wurde.
Siehe Reiter 'Premises' für eine detaillierte Beschreibung.</t>
  </si>
  <si>
    <t>Die Ausschussrate wird aus den Prämissen übernommen.
Siehe Reiter 'Premises' für eine detaillierte Beschreibung.</t>
  </si>
  <si>
    <t>The scrap rate is taken from the premises.
See tab 'Premises' for a detailed description.</t>
  </si>
  <si>
    <t>Wird der allgemeine MGK-Satz auf Materialebene oder kombiniert gebildet (siehe Reiter 'Premises' - Menü [Prämissen - Overhead - MGK]), berechnet sich der MGK-Satz anhand der im MAT-Reiter aufgeführten jährlichen Kosten und den aufgeführten Kosten je Einheit sowie des Materialpreises, der Anzahl verbauter Teile bzw. der Anteil verbrauchter Menge und der in den Prämissen festgelegten Jahresstückzahl.
Wird der allgemeine MGK-Satz fix vorgegeben, erscheint hier der im Reiter 'Premises' eingetragene Wert.</t>
  </si>
  <si>
    <t>Indirect material rate</t>
  </si>
  <si>
    <t>If the general indirect material rate is formed at material level or combined (see tab 'Premises' - menu [Premises - Overhead - indirect material rate]), the indirect material rate is calculated on the basis of the annual costs listed in the MAT tab and the listed costs per unit as well as the material price, the number of parts used or the proportion of used quantity and the annual number of units specified in the premises.
If the general indirect material rate is preset, the value entered in the 'Premises' tab will appear here.</t>
  </si>
  <si>
    <t>The indirect material costs per piece are calculated here. 
Indirect material costs = (quantity x price + scrap material) x indirect material rate</t>
  </si>
  <si>
    <t>The material costs result from the material direct costs and the indirect material costs.
Material costs = quantity x material price + scrap material + indirect material costs</t>
  </si>
  <si>
    <t>The selling, general and administrative expenses (SG&amp;A) rate on added value is taken from the premises.
See tab 'Premises' for a detailed description.</t>
  </si>
  <si>
    <t>The selling, general and administrative expenses (SG&amp;A) rate on material is taken from the premises.
See tab 'Premises' for a detailed description.</t>
  </si>
  <si>
    <t>The selling, general and administrative expenses (SG&amp;A) rate is taken from the premises.
See tab 'Premises' for a detailed description.</t>
  </si>
  <si>
    <t>Here the SG&amp;A are calculated per piece.
SG&amp;A = (Mfg. - tool costs - scrap production + Mat.) x SG&amp;A rate / 100</t>
  </si>
  <si>
    <t>The profit rate on added value is taken from the premises.
See tab 'Premises' for a detailed description.</t>
  </si>
  <si>
    <t>The profit rate on material is taken from the premises.
See tab 'Premises' for a detailed description.</t>
  </si>
  <si>
    <t>The profit rate is taken from the premises.
See tab 'Premises' for a detailed description.</t>
  </si>
  <si>
    <t>Here the general rate for other costs is taken from the premises, if it has been set.
See tab 'Premises' for a detailed description.</t>
  </si>
  <si>
    <t>Unter 'Standzeit' versteht sich wie lange das Werkzeug genutzt werden kann, bevor es ausgetauscht werden muss.
 Die Standzeit bezieht sich auf eine Kavität.</t>
  </si>
  <si>
    <t>Service life means how long the tool can be used before it has to be replaced.
The tool life refers to one cavity.</t>
  </si>
  <si>
    <t>Hier wird per Dropdown ein Maschinenbediener (M) bzw. Facharbeiter (F) ausgewählt. 
Dies hat Auswirkungen auf die Lohngruppe.</t>
  </si>
  <si>
    <t>The required qualification for the workers is entered via dropdown. The options are (U) unskilled or (S) skilled worker. 
This has an effect on the wage group.</t>
  </si>
  <si>
    <t>Die Anzahl der benötigten Mitarbeiter für das externe Rüsten wird hier eingetragen. 
Das Rüstpersonal ist immer vom Typ Facharbeiter (F).</t>
  </si>
  <si>
    <t>The number of employees required for the external setup is entered here. 
The setup personnel is always of type skilled worker (S).</t>
  </si>
  <si>
    <t>Hier wird die Anzahl der Mitarbeiter eingetragen, die für das Rüsten benötigt werden. 
Das Rüstpersonal ist immer vom Typ Facharbeiter (F).</t>
  </si>
  <si>
    <t>The number of employees required for the setup is entered here. 
The setup personnel is always of the type skilled worker (S).</t>
  </si>
  <si>
    <t>Here, the required makeready time is entered in minutes, namely the time during which the machine stands still and is being set up by employees.</t>
  </si>
  <si>
    <t>The machine hourly rate (MHR) is automatically taken from the MHR tab depending on country and supplier and represents the machine costs per hour.</t>
  </si>
  <si>
    <t>The corresponding time unit is selected by dropdown.
You can choose between seconds, minutes and hours.</t>
  </si>
  <si>
    <t>Wird der allgemeine RFGK-Satz auf Maschinenebe e oder kombiniert gebildet (siehe Reiter 'Premises' - Menü [Prämissen - Overhead - RFGK]), berechnet sich der RFGK-Satz anhand des im MHR-Reiter aufgeführten RSS.
Wird der allgemeine RFGK-Satz fix vorgegeben, erscheint hier der im Reiter 'Premises' eingetragene Wert.</t>
  </si>
  <si>
    <t>If the general indirect manufacturing rate is formed at machine level or combined (see tab 'Premises' - menu [Premises - Overhead - indirect manufacturing rate]), the indirect manufacturing rate is calculated on the basis of IMHR listed in the MHR tab.
If the general indirect manufacturing rate is preset, the value entered in the 'Premises' tab will appear here.</t>
  </si>
  <si>
    <t>The IMHR maps the following manufacturing overhead costs as an hourly rate:
Indirect Peronal
General area
Auxiliary and test equipment
General energy, power auxiliary and test equipment
General operating costs</t>
  </si>
  <si>
    <t>Hier wird die Gesamtanzahl des Bauteils aus der BOM übernommen.
Änderungen sind entsprechend in der BOM vorzunehmen.</t>
  </si>
  <si>
    <t>Here the total quantity of the component is taken from the BOM.
Changes are to be made in the BOM.</t>
  </si>
  <si>
    <t>$B$7</t>
  </si>
  <si>
    <t>$BZ$7</t>
  </si>
  <si>
    <t>Tier 1 Lieferant</t>
  </si>
  <si>
    <t>Tier 1 Supplier</t>
  </si>
  <si>
    <t>$C$7</t>
  </si>
  <si>
    <t>Gesamtpreis</t>
  </si>
  <si>
    <t>Total price</t>
  </si>
  <si>
    <t>$C$8</t>
  </si>
  <si>
    <t>Der Summe aller in der Kalkulation aufgeführten Kosten.
Sind mehrere Lieferanten mit entsprechenden Lieferketten in der Kalkulation berücksichtigt, sind alle Tier-Zuschläge bis hin zum hier festgelegten Tier 1 Lieferanten in diesem Wert enthalten.</t>
  </si>
  <si>
    <t>The sum of all costs listed in the calculation.
If several suppliers with corresponding supply chains are included in the calculation, all tier surcharges up to the tier 1 supplier defined here are included in this value.</t>
  </si>
  <si>
    <t>Die Benennung des Tier 1 Lieferanten entsprechend der Auswahl in Zelle $BZ$7.
Standardmäßig ist dies der erste im Reiter 'Premises' angelegte Lieferant.
Achtung: Wird der Tier 1 Lieferant in Zelle $BZ$7 nachträglich geändert (1 wird zu 4), müssen sämtliche Lieferantenstrukturen ebenfalls entsprechend angepasst werden ('2-3-1' wird zu '2-3-4')!</t>
  </si>
  <si>
    <t>Die Lieferanten-ID des Tier 1 Lieferanten.
Standardmäßig ist dies der erste im Reiter 'Premises' angelegte Lieferant.
Achtung: Wird der Tier 1 Lieferant nachträglich geändert (1 wird zu 4), müssen sämtliche Lieferantenstrukturen ebenfalls entsprechend angepasst werden ('2-3-1' wird zu '2-3-4')!</t>
  </si>
  <si>
    <t>The naming of the Tier 1 supplier according to the selection in cell $BZ$7.
By default, this is the first supplier created in the 'Premises' tab.
Please note: If the Tier 1 supplier in cell $BZ$7 is subsequently changed (1 becomes 4), all supplier structures must also be adjusted accordingly ('2-3-1' becomes '2-3-4')!</t>
  </si>
  <si>
    <t>The supplier ID of the Tier 1 supplier.
By default, this is the first supplier created in the 'Premises' tab.
Please note: If the Tier 1 supplier is subsequently changed (1 becomes 4), all supplier structures must also be adjusted accordingly ('2-3-1' becomes '2-3-4')!</t>
  </si>
  <si>
    <t>Per Doppelklick auf eine Zelle in Spalte A lassen sich einzelne Zeilen hinzufügen.
Über das erweiterte Rechtsklick-Menü können auch mehrere Zeilen sowie in Zeilen mit Blocktitel (mehrere) Blöcke hinzufügt werden. 
Die Anzahl entspricht dabei der Anzahl an markierten Zellen innerhalb der Spalte A.
Neue Elemente werden immer unterhalb der ersten ausgewählten Elements eingefügt.
Achtung: Zeilen sollten immer per Makro eingefügt werden, um nicht versehentliche Zeilen ohne Formeln einzufügen.
Beispiel:
Durch das Markieren des Bereichs A12:A16 und einem Klick auf [Rechtsklick-Menü - Add 5 Rows] werden unterhalb der Zeile 12 fünf weitere Zeilen eingefügt.</t>
  </si>
  <si>
    <t>Hier wird die Lieferantenstruktur anhand der im Prämissen-Reiter vergebenen IDs aus der BOM übernommen. 
Per Doppelklick auf die entsprechende Zelle öffnet sich die Lieferantenstrukturübersicht, mit deren Hilfe diese abgebildet werden kann.
Achtung: Die ID entspricht weder automatisch der Position des Lieferanten im Prämissen-Reiter noch gibt sie Auskunft über dessen Tier-Level innerhalb der Lieferantenstruktur!
Beispiel:
1: Lieferant 01 (Tier 1) stellt das Bauteil selber her [Standardfall]
3-1: Lieferant 03 (Tier 2) stellt das Bauteil her und liefert es an Lieferant 01 (Tier 1)
2-3-1: Lieferant 02 (Tier 3) stellt das Bauteil her und liefert es an Lieferant 03 (Tier 2), der es verbaut und das Zwischenprodukt an Lieferant 01 (Tier 1) liefert</t>
  </si>
  <si>
    <t>Dies ist der Anteil der Restfertigungsgemeinkosten an den gesamten Maschinenkosten des jeweiligen Lieferanten.
Je nachdem, wie der RFGK-Satz gebildet wird (siehe Menü [Prämissen - Overhead - RFGK]) hat dieser Wert eine unterschiedliche Bedeutungen:
- Auf Maschinenebene: Rein informativ
- Kombiniert: Dient als RFGK-Satz für den Lieferanten
- Vorgabe: Entspricht der Vorgabe</t>
  </si>
  <si>
    <t>Dies ist der Anteil der Materialgemeinkosten an den gesamten Materialkosten des jeweiligen Lieferanten.
Je nachdem, wie der MGK-Satz gebildet wird (siehe Menü [Prämissen - Overhead - MGK]) hat dieser Wert unterschiedliche Bedeutungen:
- Auf Materialebene: Rein informativ
- Kombiniert: Dient als MGK-Satz für den Lieferanten
- Vorgabe: Entspricht der Vorgabe</t>
  </si>
  <si>
    <t>Der RSS RFGK bilden die folgenden Fertigungsgemeinkosten als Stundensatz ab:
Indirektes Peronal
Allgemeine Fläche
Hilfs- und Prüfgeräte
Allg. Energie, Leistung Hilfs- und Prüfgeräte
Allg. Betriebskosten</t>
  </si>
  <si>
    <t>Einstellungen</t>
  </si>
  <si>
    <t>Im Offlinemodus werden die lokal hinterlegten Addins, Datenbanken und Routinen verwendet.
Bitte die lokalen Daten bei Bedarf über das Menü [Start - AWS - Toolbox - Sync] zuvor eigenständig synchronisieren.</t>
  </si>
  <si>
    <t>In offline mode, the locally stored addins, databases and program scripts are used.
Please consider synchronising the locally stored data via the menu [Start - AWS - Toolbox - Sync] beforehand.</t>
  </si>
  <si>
    <t>Grundlegendes</t>
  </si>
  <si>
    <t>Tutorial</t>
  </si>
  <si>
    <t>Erste Schritte</t>
  </si>
  <si>
    <t>A meaningful designation of the part corresponding to the technical function has to be entered here. 
Please note: In contrast to the numbering, the designation does NOT have to be unique!</t>
  </si>
  <si>
    <t>Eine aussagekräftige und der technischen Funktion entsprechende Bezeichnung des Bauteils ist hier einzugetragen. 
Achtung: Die Bezeichung muss - im Gegensatz zur Nummerierung - NICHT eindeutig sein!</t>
  </si>
  <si>
    <t>The structural level (1 to n) of the component is entered here.
Structural level 1 is the total assembly which is analyzed. This level is unique and must not be assigned more than once!
The sub-components are contained in the following structural levels (2 to n). 
The structure is to be hierarchical, namely in the simplest case the final product is in level 1, in level 2 one or more assemblies and in level 3 the respective individual parts. The subdivision into the assemblies or individual parts is carried out in the same order as the assembly of the end product.</t>
  </si>
  <si>
    <t>Hier wird die Strukturstufe (1 bis n) des Bauteils eingetragen.
Strukturstufe 1 ist die Gesamtbaugruppe, welche analysiert wird. Diese Stufe ist einmalig und darf nicht mehrmals vergeben werden!
Die enthaltenen Subkomponenten sind in den darauffolgenden Strukturstufen (2 bis n) enthalten.
Die Struktur ist hierarchisch aufzubauen, d.h. im einfachsten Fall steht in Stufe 1 das Endprodukt, in Stufe 2 ein oder mehrere ZSB und in Stufe 3 die jeweilig zugehörigen Einzelteile. Die Untergliederung in die ZSB bzw. Einzelteile erfolgt in der gleichen Reihenfolge wie der Zusammenbau bzw. die Montage des Endprodukts.</t>
  </si>
  <si>
    <t>Here the supplier structure is entered based on the IDs assigned in the Premises tab. 
By double-clicking on the corresponding cell, the supplier structure overview is opened, helping one to demonstrate the same.
Please note: The ID does not automatically correspond to the position of the supplier in the Premises tab nor does it provide information about its hierarchical level within the supplier structure!
Examples:
1: Supplier 01 (Tier 1) produces the component itself [standard case].
3-1: Supplier 03 (Tier 2) manufactures the component and delivers it to supplier 01 (Tier 1).
2-3-1: supplier 02 (tier 3) manufactures the component and delivers it to supplier 03 (tier 2), who installs it and delivers the intermediate product to supplier 01 (tier 1).</t>
  </si>
  <si>
    <t xml:space="preserve">Hier wird die Lieferantenstruktur anhand der im Prämissen-Reiter vergebenen IDs eingetragen. 
Per Doppelklick auf die entsprechende Zelle öffnet sich die Lieferantenstrukturübersicht, mit deren Hilfe diese abgebildet werden kann.
Achtung: Die ID entspricht weder automatisch der Position des Lieferanten im Prämissen-Reiter noch gibt sie Auskunft über dessen Tier-Level innerhalb der Lieferantenstruktur!
Beispiele:
1: Lieferant 01 (Tier 1) stellt das Bauteil selber her [Standardfall].
3-1: Lieferant 03 (Tier 2) stellt das Bauteil her und liefert es an Lieferant 01 (Tier 1).
2-3-1: Lieferant 02 (Tier 3) stellt das Bauteil her und liefert es an Lieferant 03 (Tier 2), der es verbaut und das Zwischenprodukt an Lieferant 01 (Tier 1) liefert.
</t>
  </si>
  <si>
    <t>Kundenansicht simulieren</t>
  </si>
  <si>
    <t>Simulate customer view</t>
  </si>
  <si>
    <t>Übertrag</t>
  </si>
  <si>
    <t>Je nach Auswahl werden das aktive oder alle Arbeitsblätter auf Fehler und Unstimmigkeiten überprüft und diese (ohne Anspruch auf Vollständigkeit) aufgelistet.
Es werden drei Kategorien an Ergebnissen unterschieden:
- informativ (blau): Auffäliigkeiten, die durchaus beabsichtigt sein können (können durch Klick auf den entsprechenden Legendeneintrag ausgeblendet werden).
- alarmierend (gelb): Probleme, die bis zur Fertigstellung der Kalkulation unbedingt behoben werden sollten, aber die Funktion der Anwendung nicht beeinträchtigen.
- kritisch (rot): Fehler, die behoben werden müssen, da sonst bestimmte Funktionen (wie bspw. die Synchronisation) nicht funktionieren.
Achtung: Die Überprüfung ersetzt nicht die manuelle Durchsicht durch den Kalkulator!</t>
  </si>
  <si>
    <t>Auto Übertrag</t>
  </si>
  <si>
    <t>Gewährt Zugriff auf die erweiterten Einstellungen.
Achtung: Pfade zu projektspezifischen Datenbanken werden vom PL festgelegt und über die Auswahl der Projektvorlage automatisch übernommen.
Anpassungen an den hier hinterlegten Pfaden sind nur notwendig, wenn das ACT in einer anderen Netzwerkumgebung verwendet wird!</t>
  </si>
  <si>
    <t>Allows access to the advanced settings.
Please note: Paths to project-specific databases are defined by PL and automatically imported by selecting the project template.
Adjustments to the paths stored here are only necessary if the ACT is used in a different network configuration!</t>
  </si>
  <si>
    <t xml:space="preserve"> Checks the active worksheet for major errors and irregularities.
Please note: The check does not replace the manual review by the calculator!
</t>
  </si>
  <si>
    <t xml:space="preserve"> Checks the active worksheet for errors and irregularities.
Please note: The check does not replace the manual review by the calculator!</t>
  </si>
  <si>
    <t>Checks all worksheets for errors and irregularities.
Please note: The check does not replace the manual review by the calculator!</t>
  </si>
  <si>
    <t>Die Strom-Anschlussleistung der Maschine in kW.</t>
  </si>
  <si>
    <t>Die Erdgas-Anschlussleistung der Maschine in kW.</t>
  </si>
  <si>
    <t>The nominal load for electricity of the machine in kW.</t>
  </si>
  <si>
    <t>The nominal load for natural gas of the machine in kW.</t>
  </si>
  <si>
    <t>In online mode, the add-ins, databases and program scripts stored in the server are used.</t>
  </si>
  <si>
    <t>Auswahl der für das aktive Projekt zu verwendenden Vorlage.
Achtung: Soweit durch den Projektleiter nicht anders kommuniziert, ist die Standardvorlage 'Default' zu verwenden!</t>
  </si>
  <si>
    <t>Select the template to be used for the active project.
Unless otherwise communicated by the project manager, the default template 'Default' is to be used!</t>
  </si>
  <si>
    <t>Im Bilderrahmen werden die für die ausgewählte Zeile oder den ausgewählten Block im Bilderordner hinterlegten Bilder angezeigt.</t>
  </si>
  <si>
    <t>Öffnet den hinterlegten Bilderordner.</t>
  </si>
  <si>
    <t>Ändert den Pfad des hinterlegten Bilderordners.</t>
  </si>
  <si>
    <t>Shows the summary of the selected cost item.</t>
  </si>
  <si>
    <t>Zeigt die Zusammenstellung der ausgewählten Kostenposition.</t>
  </si>
  <si>
    <t>Fügt unterhalb des (ersten) ausgewählten Blocks einen neuen ein.</t>
  </si>
  <si>
    <t>Inserts a new block below the (first) selected block.</t>
  </si>
  <si>
    <t>Inserts a new row below the first selected row.</t>
  </si>
  <si>
    <t>Fügt unterhalb der ersten ausgewählten Zeile eine neue ein.</t>
  </si>
  <si>
    <t>Resets the layout of the calculation to the selected view.</t>
  </si>
  <si>
    <t>Setzt das Layout der Kalkulation auf die ausgewählte Ansicht zurück.</t>
  </si>
  <si>
    <t>Display necessary columns to be filled for the calculation.</t>
  </si>
  <si>
    <t>Ansicht der zum Befüllen der Kalkulation wesentlichen Spalten.</t>
  </si>
  <si>
    <t>Display necessary columns to present the calculation.</t>
  </si>
  <si>
    <t>Ansicht der zum Präsentieren der Kalkulation wesentlichen Spalten.</t>
  </si>
  <si>
    <t>Compact view of the most important information on single screen width.</t>
  </si>
  <si>
    <t>Kompakte Ansicht der wichtigsten Informationen auf einer Bildschirmbreite.</t>
  </si>
  <si>
    <t>Deletes the selected supplier from the calculation.</t>
  </si>
  <si>
    <t>Löscht den ausgewählten Lieferanten aus der Kalkulation.</t>
  </si>
  <si>
    <t>Adds a copy of the selected supplier to the calculation.</t>
  </si>
  <si>
    <t>Fügt der Kalkulation eine Kopie des ausgewählten Lieferanten hinzu.</t>
  </si>
  <si>
    <t>Adds a new supplier to the calculation.</t>
  </si>
  <si>
    <t>Fügt der Kalkulation einen neuen Lieferanten hinzu.</t>
  </si>
  <si>
    <t>Show/hide column for total costs of the respective Assembly (sum of the assembly and its sub-components costs).</t>
  </si>
  <si>
    <t>Ein-/Ausblenden der Spalte für Gesamtkosten des jeweilen ZSBs (Summe aus den Kosten der Montage und allen enthaltenen Komponenten).</t>
  </si>
  <si>
    <t>Show/hide the columns for other non-chargeable costs (logistics etc.).</t>
  </si>
  <si>
    <t>Ein-/Ausblenden der Spalten für sonstige nicht zu beaufschlagende Kosten (Logistik etc.).</t>
  </si>
  <si>
    <t>Show/hide columns for upstream material scrap.</t>
  </si>
  <si>
    <t>Ein-/Ausblenden der Spalten für vorgelagerten Materialaussschuss.</t>
  </si>
  <si>
    <t>Show/hide columns for post-processing of produced scrap.</t>
  </si>
  <si>
    <t>Ein-/Ausblenden der Spalten für am Ausschuss durchzuführende Nacharbeiten.</t>
  </si>
  <si>
    <t>Show/hide columns for tool wear costs.</t>
  </si>
  <si>
    <t>Ein-/Ausblenden der Spalten für Verschleißwerkzeugkosten.</t>
  </si>
  <si>
    <t>Show/hide columns for tool costs to be allocated.</t>
  </si>
  <si>
    <t>Ein-/Ausblenden der Spalten für umzulegende Werkzeugkosten.</t>
  </si>
  <si>
    <t>Show/hide columns for external setup.</t>
  </si>
  <si>
    <t>Ein-/Ausblenden der Spalten für externes Rüsten.</t>
  </si>
  <si>
    <t>Extends the selected view by the selected columns.</t>
  </si>
  <si>
    <t>Erweitert die gewählte Ansicht um die ausgewählten Spalten.</t>
  </si>
  <si>
    <t>User configurable custom view.</t>
  </si>
  <si>
    <t>Frei konfigurierbare benutzerdefinierte Ansicht.</t>
  </si>
  <si>
    <t>Opens an overview of the available practices for the different technologies and materials.</t>
  </si>
  <si>
    <t>Öffnet eine Übersicht der für die verschiedenen Technologien und Materialgruppen zur Verfügung stehenden Routinen.</t>
  </si>
  <si>
    <t>Opens an overview of the available tools for the different technologies.</t>
  </si>
  <si>
    <t>Öffnet eine Übersicht der für die verschiedenen Technologien zur Verfügung stehenden Schnellrechner.</t>
  </si>
  <si>
    <t>Opens an overview of the available material price tools for the different materials groups.</t>
  </si>
  <si>
    <t>Öffnet eine Übersicht der für die verschiedenen Materialgruppen zur Verfügung stehenden Materialpreisrechner.</t>
  </si>
  <si>
    <t>Opens an overview, sorted by technology, of the available machines, machine lines and the corresponding quick calculators.</t>
  </si>
  <si>
    <t>Öffnet eine nach Technologien sortierte Übersicht der zur Verfügung stehenden Anlagen und Maschinen und der dazugehörigen Schnellrechner.</t>
  </si>
  <si>
    <t>Opens an overview of the available materials.</t>
  </si>
  <si>
    <t>Öffnet eine Übersicht der zur Verfügung stehenden Materialien.</t>
  </si>
  <si>
    <t>Opens an overview of the available locations.</t>
  </si>
  <si>
    <t>Öffnet eine Übersicht der zur Verfügung stehenden Standorte.</t>
  </si>
  <si>
    <t>Adds an empty E-BOM to the calculation.</t>
  </si>
  <si>
    <t>Fügt der Kalkulation eine leere E-BOM hinzu.</t>
  </si>
  <si>
    <t>Copies the selected E-BOM into the calculation.</t>
  </si>
  <si>
    <t>Kopiert die ausgewählte E-BOM in die Kalkulation.</t>
  </si>
  <si>
    <t>Checks automatically when leaving the active worksheet whether changes are available for synchronization in the BOM and/or the calculation tab.</t>
  </si>
  <si>
    <t>Prüft beim Verlassen des aktiven Arbeitsblattes automatisch, ob Änderungen in der BOM und/oder der Kalkulation zur Synchronisation vorliegen.</t>
  </si>
  <si>
    <t>Automatically creates a backup in the local temp directory before synchronization.</t>
  </si>
  <si>
    <t>Erstellt vor dem Synchronisieren automatisch ein Backup im lokalen Temp-Verzeichnis.</t>
  </si>
  <si>
    <t>The help bar contains further information on the selected row/column/cell or the shown user interface.</t>
  </si>
  <si>
    <t>Die Hilfeleiste enthält weiterführende Informationen zu der ausgewählten Zeile/Spalte/Zelle bzw. der geöffneten Eingabemaske.</t>
  </si>
  <si>
    <t>Opens the ACT documentation.</t>
  </si>
  <si>
    <t>Öffnet die ACT Dokumentation.</t>
  </si>
  <si>
    <t>Opens the ACT tutorial.</t>
  </si>
  <si>
    <t>Öffnet das ACT Tutorial.</t>
  </si>
  <si>
    <t>ACT-X</t>
  </si>
  <si>
    <t>MHR MAT LOC</t>
  </si>
  <si>
    <t>Show/hide picture frame</t>
  </si>
  <si>
    <t>Löscht den Pfad des hinterlegten Bilderordners.
Es wird nur die Verbindung zurückgesetzt, der Ordner bleibt unverändert erhalten.</t>
  </si>
  <si>
    <t>tgbPicP</t>
  </si>
  <si>
    <t>btnPic1P</t>
  </si>
  <si>
    <t>btnPic2P</t>
  </si>
  <si>
    <t>btnPic3P</t>
  </si>
  <si>
    <t>Administrative Benutzerdomäne</t>
  </si>
  <si>
    <t xml:space="preserve">Setzt die Benutzeroberfläche zurück. Ein anschließender Wechsel des Arbeitsblattes lädt diese dann neu.
Sollten weiterhin Fehler auftreten, muss Excel geschlossen und neu geöffnet werden. </t>
  </si>
  <si>
    <t xml:space="preserve"> Resets the user interface. Subsequently switching the worksheet then reloads it.
If errors continue to occur, Excel has to be closed and reopened. </t>
  </si>
  <si>
    <t>tgbHlpHelpBar</t>
  </si>
  <si>
    <t>btnHlpDoc</t>
  </si>
  <si>
    <t>btnHlpMail</t>
  </si>
  <si>
    <t>btnHlpReset</t>
  </si>
  <si>
    <t>tgbHlpCustomerView</t>
  </si>
  <si>
    <t>btnHlpInfo</t>
  </si>
  <si>
    <t>tgbHlpTutorial</t>
  </si>
  <si>
    <t>Zentrales Element des ACT ist das in die Exceloberfläche integrierte ACT-Ribbon.
Über dieses sind sämtliche für die Kalkulation relevanten Funktionen aufrufbar.
Die angezeigten Schaltflächen verändern sich dabei in Abhängigkeit des momentan aktiven Arbeitsblattes (BOM, Calculation etc.) sowie der momentan geladenen Addins (ACT-X, ACT-Q etc.).
Beim Verweilen mit dem Cursors über einer Schaltfläche wird ein kleines Fenster mit Informationen zu der jeweiligen Funktion angezeigt.
Um sich innerhalb der Arbeitsblätter zurechtzufinden, lässt sich über das Menü [ACT - Hilfe - Hilfeleiste] ein Fenster einblenden, das ausführliche Informationen und ggf. Instruktionen zu der gerade ausgewählten Zeile/Spalte/Zelle oder zu der gerade angezeigten Benutzeroberfläche (Userform) bereithält.
Bei einigen Userforms muss zuerst die Hilfeleiste eingeblendet und im Anschluss die Userform geöffnet werden, damit die Hilfe sichtbar ist.</t>
  </si>
  <si>
    <t>Tutorial gestartet</t>
  </si>
  <si>
    <t>Beschreibt, wie umfangreich der Handlingsaufwand des Materials ausfällt.
Dieser Wert beinflusst die Dauer der Ein-, Um- und Auslagerungsvorgänge.</t>
  </si>
  <si>
    <t>IndirectCosts</t>
  </si>
  <si>
    <t>Die AWS Toolbox</t>
  </si>
  <si>
    <t>Versionskontrolle</t>
  </si>
  <si>
    <t>Sprache</t>
  </si>
  <si>
    <t>Projektvorlage</t>
  </si>
  <si>
    <t>Online/Offline</t>
  </si>
  <si>
    <t>\\wts\02 DATA\02 WD\01 Kalkulationstools\01 Teilekosten\01 ACT\ACT 6</t>
  </si>
  <si>
    <t>Je nach Verfügbarkeit oder Geschwindigkeit einer Netzwerkverbindung kann es sinnvoll sein offline zu arbeiten. 
Im Offline-Modus werden statt der auf dem Server befindlichen Daten die über die AWS Toolbox auf der lokalen Festplatte bereitgestellten Daten verwendet. 
Dies betrifft Datenbanken, Schnellrechner und Materialpreisrechner, Addins sowie die Projektübersicht.
Zu beachten ist, dass im Offline-Modus genutzte Resourcen mitunter nicht auf dem neusten Stand sind, da Änderungen erst mit dem Synchronisieren der Daten [Start - AWS - Toolbox - Sync] übernommen werden. 
Es ist daher nach Möglichkeit online zu arbeiten.
Achtung: Um die lokal gespeicherten Daten aktuell zu halten ist es dringend erforderlich, die AWS Toolbox immer aktiviert zu lassen und die Daten bei entsprechender Aufforderung zu aktualisieren!</t>
  </si>
  <si>
    <t>Die Sprache, in der die Kalkulation erstellt wird, ist nach Möglichkeit im Vorfeld mit dem Kunden abzustimmen.
Die gewählte Sprache betrifft nicht nur Überschriften und Erläuterungen im Dokument, sondern bestimmt auch, in welcher Sprache Elemente der Kalkulation hinzugefügt werden. 
Dies betrifft Maschinen-, Material- und Standortdaten, aber auch importiere Zykluszeiten aus Schnellrechnern oder bei der Synchronisation von BOM und Kalkulation automatisch eingefügte Bausteine.
Die Sprache kann zwar jederzeit geändert werden, mitunter ist dies aber mit erheblichem Mehraufwand verbunden, da neben den händischen Eingaben auch die oben genannten automatisch eingefügten Elemente manuell übersetzt werden müssen.
Es ist durchaus beabsichtigt, dass auch die Erstellung der Kalkulation in der Sprache erfolgt, in der das Ergebnis zur Verfügung stehen soll, um den Kalkulator mit den Begrifflichkeiten vertraut zu machen.</t>
  </si>
  <si>
    <t>btnSycCalc</t>
  </si>
  <si>
    <t>btnSycAltCalc</t>
  </si>
  <si>
    <t>tgbSycAutoSycCalc</t>
  </si>
  <si>
    <t>tgbSycAutoBcpCalc</t>
  </si>
  <si>
    <t>Zeigt die Kalkulation, wie sie außerhalb der AWS-Domäne angezeigt wird.
Wird die Kalkulation vom eigenen Computer aus dem Kunden vorgestellt, kann diese Funktion genutzt werden, um die Kalkulation so darzustellen, wie der Kunde sie auf seinem Endgerät sieht.
Achtung: Geladene Addins werden deaktiviert und müssen im Anschluss neu geladen werden!</t>
  </si>
  <si>
    <t xml:space="preserve"> Shows the calculation as it appears outside the AWS domain.
If the calculation is presented to the customer on the own machine, this function can be used to display the calculation exactly as the customer sees it on his.
Please note: Loaded addins are deactivated and have to be reloaded afterwards!</t>
  </si>
  <si>
    <t>Cost split 1</t>
  </si>
  <si>
    <t>Cost split 2</t>
  </si>
  <si>
    <t>Cost split 3</t>
  </si>
  <si>
    <t>mnuLayout</t>
  </si>
  <si>
    <t>btnLayout1</t>
  </si>
  <si>
    <t>Resets the layout of the entire workbook to the AWS default.</t>
  </si>
  <si>
    <t>AWS Standard</t>
  </si>
  <si>
    <t>AWS Default</t>
  </si>
  <si>
    <t>sprSyc</t>
  </si>
  <si>
    <t>sbtSyc</t>
  </si>
  <si>
    <t>dlBSettings</t>
  </si>
  <si>
    <t>sbtSycCalc</t>
  </si>
  <si>
    <t>sprSycCalc</t>
  </si>
  <si>
    <t>Setzt das Layout der gesamten Arbeitsmappe auf den AWS Standard zurück.</t>
  </si>
  <si>
    <t>Resets the layout of the entire workbook to the selected design.</t>
  </si>
  <si>
    <t>Setzt das Layout der gesamten Arbeitsmappe auf das gewählte Design zurück.</t>
  </si>
  <si>
    <t>Synchronisieren</t>
  </si>
  <si>
    <t>Synchronize</t>
  </si>
  <si>
    <t>Synchronisiert die Reiter BOM und Calculation.
Achtung: Nachträgliche Änderungen INNERHALB einer BOM-Zeile oder eines Kalkulationsblocks werden nicht übernommen!</t>
  </si>
  <si>
    <t>Synchronizes the BOM and Calculation tabs.
Please note: Subsequent changes WITHIN a BOM row or calculation block are not applied!</t>
  </si>
  <si>
    <t>Parts per Cycle</t>
  </si>
  <si>
    <t>Teile pro Zyklus</t>
  </si>
  <si>
    <t>Hier wird die Anzahl der Teile pro Fertigungsschritt (z.B. die Kavitäten beim Spritzguss) eingetragen.</t>
  </si>
  <si>
    <t>Die zur Zykluszeit gehörende Zeiteinheit wird hier per Dropdown ausgewählt. 
Zur Auswahl stehen Sekunden, Minuten und Stunden.</t>
  </si>
  <si>
    <t>Hier wird die Losgröße eingetragen.
Diese kann entweder per Dropdown ausgewählt oder als Zahl eingetragen werden.
J = Jahreslos
HJ = Halbjahreslos
M = Monatslos
W = Wochenlos
T = Tageslos</t>
  </si>
  <si>
    <t>Lot size</t>
  </si>
  <si>
    <t>The lot size is entered here.
This can either be selected via dropdown or entered as a number.
Y= annual lot
HY=six-monthly lot
M= monthly lot
W= weekly lot
D=daily lot</t>
  </si>
  <si>
    <t>The time for external setup is entered here in minutes, namely time for setup processes during which the machine does NOT stand still.</t>
  </si>
  <si>
    <t>Ext. Setup</t>
  </si>
  <si>
    <t>Labor costs</t>
  </si>
  <si>
    <t>Skill level</t>
  </si>
  <si>
    <t>Quantitiy</t>
  </si>
  <si>
    <t>Average rework costs</t>
  </si>
  <si>
    <t>\\wts\02 DATA\02 WD\10 Sonstige Anwendungen\AWS Toolbox</t>
  </si>
  <si>
    <t>Überprüfung</t>
  </si>
  <si>
    <t>Über das Menü [ACT - Erweitert - Check] werden je nach Auswahl entweder nur das aktive oder alle Arbeitsblätter auf Fehler und Unstimmigkeiten überprüft und diese (ohne Anspruch auf Vollständigkeit) aufgelistet.
Neben Excel-Fehlern (#BEZUG! etc.) und Fehlern in der Bedienung (Einfügen von Zeilen ohne Formeln, Verwendung von nicht angelegten Materialien etc.) werden auch Unstimmigkeiten in der Kalkulationslogik aufgeführt.
Es werden drei Kategorien an Ergebnissen unterschieden:
- informativ (blau): Auffäliigkeiten, die durchaus beabsichtigt sein können (können durch Klick auf den entsprechenden Legendeneintrag ausgeblendet werden).
- alarmierend (gelb): Probleme, die bis zur Fertigstellung der Kalkulation unbedingt behoben werden sollten, aber die Funktion der Anwendung nicht beeinträchtigen.
- kritisch (rot): Fehler, die behoben werden müssen, da sonst bestimmte Funktionen (wie bspw. die Synchronisation) nicht funktionieren.
Achtung: Die Überprüfung stellt eine reine Hilfestellung dar und ersetzt nicht die manuelle Durchsicht durch den Kalkulator!</t>
  </si>
  <si>
    <t>Über das Menü [ACT - BOM bzw. Kalkulation - Übertrag] lassen sich BOM und Kalkulation zueinander synchronisieren.
Im ACT 6 gehört jede Zeile in der BOM zu genau einem Block in der Kalkulation.
Nachdem die BOM das erste mal aufgebaut wurde, wird diese in die Kalkuation überführt, in dem zu jeder Zeile ein Block angelegt und entsprechend verlinkt sowie mit den vorhandenen Information befüllt wird.
Wird die Struktur auf einer Seite verändert, indem Zeilen oder Blöcke neu hinzugefügt, verschoben oder gelöscht werden, können auch diese Änderungen entsprechend synchronisiert werden.
Die nachträgliche Synchronisation bezieht sich allerdings nur auf die Struktur von BOM und Kalkulation und nicht auf deren Inhalt.
Wird also das Material oder das Gewicht in der BOM angepasst, muss diese Änderung in der Kalkulation ebenfalls manuell vorgenommen werden.
Alternativ können einzelne Zeilen oder Blöcke auch gelöscht und neu erstellt werden ('Redo' in der Userform), bereits eingefügter Inhalt wird dann aber überschrieben.
Die Hilfeleiste enthält weiterführende Informationen zu der beschriebenen Userform.</t>
  </si>
  <si>
    <t>Bilderkatalog</t>
  </si>
  <si>
    <t>\\wts\02 DATA\02 WD\06 Schulungen\04 Schulungen AWS Prämissen\Zuschlagssätze</t>
  </si>
  <si>
    <t>Die AWS Toolbox ist ein VSTO-Add-In für Excel, das arbeitsmappenübergreifende Funktionen bereitstellt. 
Dadurch lassen sich Funktionen unternehmensweit und unabhängig von der jeweils verwendeten Vorlage nutzen.
Für das ACT entscheident ist hierbei die Sync-Funktion, mit Hilfe derer sämtliche Stammdaten und Schnellrechner lokal verfügbar gemacht und aktuell gehalten werden. 
Diese stehen dadurch auch im Offline-Betrieb zur Verfügung.
Bitte dem Link (oben rechts) folgen, um weitere Informationen zu erhalten.</t>
  </si>
  <si>
    <t>Maschinenebene</t>
  </si>
  <si>
    <t>Lieferantenebene</t>
  </si>
  <si>
    <t>Materialebene</t>
  </si>
  <si>
    <t>Supplier level</t>
  </si>
  <si>
    <t>Für Wertschöpfung und Material wird ein einheitlicher VVGK-Satz verwendet.
Dieser muss je Lieferant entsprechend eingetragen werden.
Dies ist die Standardeinstellung.</t>
  </si>
  <si>
    <t>Für Wertschöpfung und Material wird jeweils ein eigener VVGK-Satz verwendet.
Diese müssen je Lieferant entsprechend eingetragen werden.</t>
  </si>
  <si>
    <t>Für Wertschöpfung und Material wird ein einheitlicher Gewinn-Satz verwendet.
Dieser muss je Lieferant entsprechend eingetragen werden.
Dies ist die Standardeinstellung.</t>
  </si>
  <si>
    <t>Für Wertschöpfung und Material wird jeweils ein eigener Gewinn-Satz verwendet.
Diese müssen je Lieferant entsprechend eingetragen werden.</t>
  </si>
  <si>
    <t>A separate SG&amp;A rate is used for added value and material.
These have to be entered accordingly for each supplier.</t>
  </si>
  <si>
    <t>A separate profit rate is used for added value and material.
These have to be entered accordingly for each supplier.</t>
  </si>
  <si>
    <t>A uniform profit rate is used for added value and material.
This has to be entered accordingly for each supplier.
This is the default setting.</t>
  </si>
  <si>
    <t>A uniform SG&amp;A rate is used for added value and material.
This has to be entered accordingly for each supplier.
This is the default setting.</t>
  </si>
  <si>
    <t>Hier wird die für den Fertigungsschritt verwendete Maschine ausgewählt.
ACT-X
Bei geladenem Know-how-Addin (ACT-X) öffnet sich per Doppelklick die Maschienenübersicht (siehe AWS Wissensdomäne) über die eine bereits in der Kalkulation befindliche Maschine (MHR-Reiter) oder eine Maschinen aus der verknüpften Datenbank ausgewählt werden kann. 
Ausgewählte Maschinen, die noch nicht in der Kalkulation vorhanden sind, werden automatisch in den MHR-Reiter kopiert.
Ist die Maschinen bereits in der Kalkulation vorhanden, kann diese auch per Dropdown ausgewählt oder per Copy-Paste von anderer Stelle eingefügt werden.</t>
  </si>
  <si>
    <t>Hier wird die Zykluszeit in Abhängigkeit der Zeiteinheit eingegeben. Alternativ kann auch eine Formel zur Berechnung der Zykluszeit eingetragen werden. Hilfreich sind zudem Kommentare, die die Zykluszeit für andere Benutzer nachvollziehbar machen.
ACT-X
Bei geladenem Know-how-Addin (ACT-X) kann die Zykluszeit für ausgewählt Technologien auch per Rechtsklick aus dem entsprechenden Schnellrechner (siehe Button Routinen) importiert werden, nachdem dort die entsprechenden Parameter eingetragen wurden. 
Neben der Zykluszeit werden zugrundeliegenden Parameter im Kommentar der Zelle hinterlegt.
Des Weiteren wird ein Code im Kommentar hinterlegt (nicht sichtbar), der es ermöglicht die Zykluszeit per Rechtsklick wieder in das entsprechende Tool zu laden, um die Bildung des Wertes später nachvollziehen zu können.</t>
  </si>
  <si>
    <t>Hier wird das Material ausgewählt.
In einem Block können mehrere Materialien (ein Material pro Zeile) eingetragen werden.
ACT-X
Bei geladenem Know-how-Addin (ACT-X) öffnet sich per Doppelklick die Materialübersicht (siehe AWS Wissensdomäne) über die ein bereits in der Kalkulation befindliches Material (MAT-Reiter) oder ein Material aus der verknüpften Datenbank ausgewählt werden kann. 
Ausgewählte Materialien, die noch nicht in der Kalkulation vorhanden sind, werden automatisch in den MAT-Reiter kopiert.
Ist das Material bereits in der Kalkulation vorhanden, kann dieses auch per Dropdown ausgewählt oder per Copy-Paste von anderer Stelle eingefügt werden.</t>
  </si>
  <si>
    <t>Here the material is selected. 
Several materials (one material per row) can be entered in one block.
ACT-X
When the Know-how-Addin (ACT-X) is loaded, double-click on it to open the material overview (see AWS Knowledge Domain) where you can select a material that is already in the calculation (MAT tab) or a material from the linked database. 
Selected materials that are not yet in the calculation are automatically copied to the MAT tab.
If the material already exists in the calculation, it can also be selected from the dropdown list or inserted from another location by copy-paste.</t>
  </si>
  <si>
    <t>Here the machine for the production step is selected.
ACT-X
When the Know-how Addin (ACT-X) is loaded, double-clicking opens the machine overview (see AWS Knowledge Domain), where a machine that is already in the calculation (MHR tab) or a machine from the linked database can be selected. 
Selected machines that are not yet in the calculation are automatically copied into the MHR-tab.
If the machine already exists in the calculation, it can also be selected from the dropdown list or inserted from another location by copy-paste.</t>
  </si>
  <si>
    <t>Here the cycle time is entered as a function of the time unit. Alternatively, a formula for calculating the cycle time can be entered. Helpful descriptive comments can also be added allowing better interpretation for other users.
ACT-X
When the Know-how Addin (ACT-X) is loaded, the cycle time for selected technologies can also be imported from the corresponding quick calculator (see button Practices) by right-clicking after the respective parameters have been entered. 
Along with the cycle time, underlying parameters are stored as a comment for the cell.
In addition, a code is stored in the comment (not visible), which allows the cycle time to be reloaded into the corresponding tool by right-clicking, in order to retrace the formation of the value later.</t>
  </si>
  <si>
    <t>Hier wird bei Bedarf der Fertigungsprozess eingetragen. 
ACT-Q
Bei entsprechend geladenem Addin (ACT-Q) öffnet sich per Doppelklick die Fertiungsprozessübersicht, mit deren Hilfe aus den vom Projektleiter zugelassenen Technologien der Fertigungsprozess abgebildet werden kann. Bekannte Prozesse werden bei der Synchronisation der BOM mit der Kalkulation automatisch entsprechend der hinterlegten Logik vorausgefüllt.
Der Prozess-String wird automatisch generiert und kann aus beliebig vielen (durch + getrennten) Einzelprozessen bestehen, die wiederrum über (durch - getrennte) Parameter spezifiziert werden können.
Beispiel:
A+VT-13:10: Assembly (A - ohne Parameter) und anschließende 10 %-Sichtprüfung (VT-13:10 - Parameter 13 [Percentage] mit Wert 10).
P-10:kg: Kaufteil mit Preis in €/kg (Parameter 13 [Unit] mit Wert 'kg').</t>
  </si>
  <si>
    <t>Here the production process is entered if required. 
ACT-Q
If the Addin (ACT-Q) is loaded accordingly, double-clicking on it opens the manufacturing process overview, which can be used to map the manufacturing process from the technologies approved by the project manager. Known processes are automatically prefilled according to the stored logic when the BOM is synchronized with the calculation.
The process string is generated automatically and can consist of as many number of individual processes (separated by +), which in turn can be specified via (separated by -) parameters.
Example:
A+VT-13:10: Assembly (A - without parameters) and subsequent 10 % visual inspection (VT-13:10 - Parameter 13 [Percentage] with value 10).
P-10:kg: Purchased part with price in €/kg (parameter 13 [Unit] with value 'kg').</t>
  </si>
  <si>
    <t>Hier wird - zusammengesetzt aus Nummerierung und Bezeichnung - der (dank der Nummerierung eindeutige) Name des Bauteils angezeigt. 
Dieser Spalte ist bei allen Verlinkungen (SVERWEIS etc.) zu verwenden, um falsche Zuordnungen zu vermeiden.</t>
  </si>
  <si>
    <t>Hier wird (nur) das Hauptmaterial ausgewählt.
Weitere Materialien können im Kalkulationsblock hinzugefügt werden.
ACT-X
Bei geladenem Know-how-Addin (ACT-X) öffnet sich per Doppelklick die Materialübersicht (siehe AWS Wissensdomäne) über die ein bereits in der Kalkulation befindliches Material (MAT-Reiter) oder ein Material aus der verknüpften Datenbank ausgewählt werden kann. 
Ausgewählte Materialien, die noch nicht in der Kalkulation vorhanden sind, werden automatisch in den MAT-Reiter kopiert.
Ist das Material bereits in der Kalkulation vorhanden, kann dieses auch per Dropdown ausgewählt oder per Copy-Paste von anderer Stelle eingefügt werden.</t>
  </si>
  <si>
    <t>Here (only) the main material is selected.
Other materials can be added in the calculation block.
ACT-X
When the Know-how-Addin (ACT-X) is loaded, double-click on it to open the material overview (see AWS Knowledge Domain) where you can select a material that is already in the calculation (MAT tab) or a material from the linked database. 
Selected materials that are not yet in the calculation are automatically copied to the MAT tab.
If the material already exists in the calculation, it can also be selected from the dropdown list or inserted from another location by copy-paste.</t>
  </si>
  <si>
    <t>Die BOM beinhaltet alle Baugruppen und Einzelteile eines Produkts und zeigt dessen Zusammensetzung über alle Fertigungsstufen in tabellarischer Form.
Die oberste Zeile der Strukturstufe 1 stellt die Gesamtbaugruppe dar, welche analysiert wird. Diese Stufe ist einmalig und darf nicht mehrmals vergeben werden!
Die enthaltenen Subkomponenten sind in den darauffolgenden Strukturstufen (2 bis n) enthalten. Die Struktur ist hierarchisch aufzubauen.
Der Einzug in Spalte D sowie die Farbe einer Zeile verdeutlichen die jeweilige Strukturstufe. Zeilen mit Stufe größer 8 bleiben weiß.
Durch Doppelklick auf die Strukturstufe einer Zeile in Spalte C wird unterhalb dieser eine leere Zeile der gleichen Stufe eingefügt.
Ändert man die Strukturstufe einer Zeile, wird das Farbschema dieser automatisch angepasst.
Die Hilfeleiste enthält weiterführende Informationen zu den zu befüllenden Zellen.</t>
  </si>
  <si>
    <t>Hier werden (durch Hochkomma ['] getrennt) die im zugehörigen Bilderordner (Menü [ACT - BOM - Pic - Ordnerpfad ändern]) gespeicherten Bilder dem jeweiligen Bauteil zugeordnet.
Nummern von Bildern, die während der Zerlegung in der Werkstatt aufgenommen wurden, werden hier eingetragen.
Des Weiteren kann per [Rechtsklick - Save picture from clipboard] ein Bild aus der Zwischenablage (bspw. ein Screenshot einer technischen Zeichnung) hinzugefügt werden. Dieses Bild wird automatisch im Bilderordner abgelegt und mit der nächsten verfügbaren Nummer versehen.
Bilder können im Anschluss mit einem Klick auf [ACT - BOM - Pic - Bilder umbenennen] in den in Spalte A gebildeten Namen umbenannt werden.
Beispiele:
0025: Das Bild IMG_0025.JPG im Bilderordner zeigt das in dieser Zeile beschriebene Bauteil.
2'13'444: Die Bilder IMG_0001.JPG, IMG_0013.JPG und IMG_0444.JPG im zugehörigen Bilderordner zeigen das in dieser Zeile beschriebene Bauteil.</t>
  </si>
  <si>
    <t>Here (separated by apostrophe [']) the images stored in the associated image folder (menu [ACT - BOM - Pic - Change folder path]) are assigned to the respective component.
Numbers of pictures taken during disassembly in the workshop are entered here.
Furthermore, an image from the clipboard (e.g. a screenshot of a technical drawing) can be added via [Right-click - Save picture from clipboard]. This picture is automatically saved in the picture folder and assigned the next available number.
Images can then be renamed to the name formed in column A by clicking on [ACT - BOM - Pic - Rename images].
Examples:
0025: The picture IMG_0025.JPG in the picture folder shows the component described in this line.
2'13'444: The images IMG_0001.JPG, IMG_0013.JPG and IMG_0444.JPG in the corresponding image folder show the component described in this row.</t>
  </si>
  <si>
    <t>Der Bilderkatalog beinhaltet die Bilder, die einzelnen Baugruppen und Einzelteile darstellen.
Um die Dateigröße der Kalkulation möglichst klein zu halten, werden sämtliche Bilder in einem Ordner abgelegt und dieser anschließend über das Menü [ACT - BOM - Pic - Ordnerpfad ändern] mit der Kalkulation verknüpft.
Diese können entweder während der Zerlegung aufgenommenen oder in Form von Screenshots aus technischen Zeichnungen odder ähnlichem entnommenen werden. Die Zuordnung von Bild und Bauteil erfolgt über einen Eintrag in Spalte R der BOM (der entsprechende Eintrag der Hilfeleiste enthält eine genaue Anleitung dazu).
Die Bilder können im Anschluss mit einem Klick auf [ACT - BOM - Pic - Bilder umbenennen] in den in Spalte A gebildeten Namen umbenannt werden.
Über das Menü [ACT - BOM bzw. Kalkulation - Pic - Bilderrahmen] lässt sich ein kleines Fenster einblenden, das die zur ausgewählten BOM-Zeile oder zum ausgewählten Kalkulationsblock gehörigen Bilder anzeigt.
Voraussetzung dafür ist eine Verbindung zum hinterlegten Bilderordner und das Vorhandensein eines Bildes mit der in Spalte R der BOM hinterlegten Nummer oder Bezeichnung.</t>
  </si>
  <si>
    <t>Die Infoleiste enthält weiterführende Informationen zu der Zusammensetzung der in der ausgewählten Zelle dargestellten Kosten oder des dargestellten Tier-Zuschlags.</t>
  </si>
  <si>
    <t>The info bar contains further information on the composition of the costs or tier surcharge displayed in the selected cell.</t>
  </si>
  <si>
    <t>Tier surcharge</t>
  </si>
  <si>
    <t>If it is an assembly (assy), the sum of the cost of all parts included according to the BOM structure is displayed here.</t>
  </si>
  <si>
    <t>Für sämtliche bei der AWS verwendeten Tools ergeben sich regelmäßig mitunter auch kleine Änderungen, Anpassungen oder Neuerungen, die kurzerhand und unbürokratisch einpflegt werden und daher nicht immer eine Versionierung nach sich ziehen.
Daher ist zu Beginn einer jeden neuen ACT-Kalkulation durch den Kalkulator sicherzustellen, dass immer die neuste auf dem Server abgelegte Vorlage (siehe Link oben rechts) verwendet wird.
Achtung: Es ist nicht gestattet, Vorlagen lokal zu speichern und diese für neue Kalkulationen zu verwenden!
Die Versionierung aller AWS Tools folgt der Logik 
[Major.Minor.Build-Revision].
Für das ACT gelten folgende Kompatibilitäten: Unterschiedliche Major-Stufen sind nicht kompatibel, unterschiedliche Minor-Stufen sind eingeschränkt kompatibel, unterschiedliche Build-Stufen sind uneingeschränkt kompatibel. Die Kompatibilität bezieht sich dabei bspw. auf das Kopieren und Einfügen von BOM-Zeilen, Kalkulationsblöcken etc.</t>
  </si>
  <si>
    <t>Zu jeder Zeile in der BOM gehört ein Block in der Kalkulation.
Die BOM sollte immer die strukturelle Basis bilden. Änderungen in der Struktur sind daher nach Möglichkeit in der BOM zu vollziehen und die Kalkulation im Anschluss entsprechend zu synchronisieren.
Des Weiteren sind sämtliche Einträge der Kopfzeile (der ersten Zeile eines jeden Blocks) auf die BOM verlinkt. Bezeichnung, Anzahl und Lieferantenstruktur eines Blocks sind entsprechend ebenfalls in der dazugehörigen BOM-Zeile anzupassen.
Per [Rechtsklick - Show in BOM] innerhalb einer Kopfzeile eines Blocks gelangt man direkt zu der dazugehörigen BOM-Zeile (und auf gleiche Weise auch wieder zurück).
Die Analyse [ACT - Kalkulation - Analysis] zeigt anhand eines Wasserfalls, wie sich die Kosten in der aktiven Zelle zusammensetzen.
Über das Menü [ACT - Kalkulation - Analysis - Infoleiste] lässt sich ein kleines Fenster einblenden, das Informationen über die Zusammensetzung der in der ausgewählten Zelle dargestellten Kosten oder des dargestellten Tier-Zuschlags enthält.
Die Hilfeleiste enthält weiterführende Informationen zu den zu befüllenden Zellen und den beschriebenen Userforms.</t>
  </si>
  <si>
    <t>EditView</t>
  </si>
  <si>
    <t>Userform Edit View</t>
  </si>
  <si>
    <t>Ermöglicht das Ein- und Ausblenden der in der Kalkulation zur Vefügung stehenden Spalten.
Die Standardansichten lassen sich dabei nicht überschreiben. Wird die Ansicht zurückgesetzt, verfallen die Änderungen.
Die Zusatzspalten (externes Rüsten etc.) müssen gesondern an- und abgewählt werden.
Eigene Ansicht
Ist die 'Eigene Ansicht' ausgewählt werden die Anpassungen automatisch gespeichert und bleibem als 'Eigene Ansicht' erhalten. 
Auf diese Weise kann einen auf das Projekt individuell zugeschnitte Ansicht für den Kunden bereitgestellt werden.
Als Basis dient die dabei 'Kompaktansicht'.
Über den Reset-Button wird die Ansicht auf das Layout der 'Kompaktansicht' zurückgesetzt.</t>
  </si>
  <si>
    <t>Enables the columns available in the calculation to be shown or hidden.
The default views cannot be overwritten. If the view is reset, the changes are lost.
The additional columns (external setup etc.) have to be selected and deselected separately.
Custom view
If the 'Custom View' is selected, the adjustments are automatically saved and made available as 'Custom View'. 
In this way, an individually tailored view for the project can be provided for the customer.
The basis for this is the 'Compact View'.
The Reset button resets the view to the layout of the 'Compact View'.</t>
  </si>
  <si>
    <t>Kalkulation (2 von 2)</t>
  </si>
  <si>
    <t>Kalkulation (1 von 2)</t>
  </si>
  <si>
    <t>Um den Überblick über die zahlreichen Spalten der Kalkulation zu bewahren, stehen verschiedene Ansichten [ACT - Kalkulation - Ansicht] zur Verfügung. 
Einige Spalten sind immer sichtbar, andere sind je nach gewählter Ansicht entweder ein- oder ausgeblendet.
Die Eingabeansicht ermöglicht Zugang zu allen für das Befüllens der Kalkulation wesentlichen Spalten, unterschlägt aber für den Kunden mitunter entscheidende Informationen.
Vor dem Versenden und zu Präsentationszwecken sollte die Präsentations- oder die Kompaktansicht verwendet werden.
Spalten lassen sich über das Menü  [ACT - Kalkulation - Ansicht - Ansicht bearbeiten] ein- und ausblenden. 
Die Standardansichten lassen sich allerdings nicht überschreiben. Wird die 'Eigene Ansicht' ausgewählt und verändert, bleiben die Anpassungen hingegen erhalten (der Eintrag der Hilfeleiste zu dieser Userform enthält genauere Informationen hierzu).
Über das Meü [ACT- Kalkulation - Spalten] lassen sich bei Bedarf spezielle Spalten dazuschalten, die dann - bei gesetztem Häkchen - immer sichtbar sind.</t>
  </si>
  <si>
    <t>cbxAddinX</t>
  </si>
  <si>
    <t>cbxAddinQ</t>
  </si>
  <si>
    <t>CO₂-Modul</t>
  </si>
  <si>
    <t>CO₂-Modul zugelassen</t>
  </si>
  <si>
    <t>Addins und Module</t>
  </si>
  <si>
    <t>Addins können jederzeit und je nach Bedarf aktiviert und deaktiviert werden.
Module werden einmalig geladen und erweitern die Kalkulation dauerhaft.
Die zur Verfügung stehenden Addins und Module varieren je nach ausgewählter Projektvorlage.</t>
  </si>
  <si>
    <t>Eine ganze Reihe von ACT-Funktionen sind in auf dem Server bereitgestellte Addins ausgelagert. 
Die eigentliche Kalkulationsdatei ist entsprechend deutlich kleiner und arbeitet schneller. 
Addins können jederzeit und je nach Bedarf aktiviert und deaktiviert werden.
Im Gegensatz dazu werden Module einmalig geladen und erweitern die Kalkulation dauerhaft um spezifische Funktionen und Inhalte.
Bestimmte Addins und Module stehen nur zur Verfügung, wenn diese durch den Projektleiter über die zu verwendende Projektvorlage freigeschaltet wurden.
Über die AWS Toolbox werden alle Addins und Module lokal bereitgestellt und aktuell gehalten und sind entsprechend auch im Offline-Betrieb verfügbar.
Addins sowie die in Addins enthaltenen Funktionen stehen Kunden nicht zur Verfügung.</t>
  </si>
  <si>
    <t>Addins and modules</t>
  </si>
  <si>
    <t>Addins can be activated and deactivated at any time and as needed.
Modules are loaded once and extend the calculation permanently.
The available addins and modules vary depending on the selected project template.</t>
  </si>
  <si>
    <t>Lädt das ACT-X Addin und stellt die entsprechenden Funktionen bereit.</t>
  </si>
  <si>
    <t>Lädt das ACT-Q Addin und stellt die entsprechenden Funktionen bereit.</t>
  </si>
  <si>
    <t>Loads the ACT-X Addin and provides the corresponding functions.</t>
  </si>
  <si>
    <t>Loads the ACT-Q Addin and provides the corresponding functions.</t>
  </si>
  <si>
    <t>Lädt das CO₂-Modul und integriert die entsprechenden Funktionen und Inhalte dauerhaft in die Kalkulation.
Achtung: Dies kann nicht rückgängig gemacht werden!</t>
  </si>
  <si>
    <t>Depending on the selection, the active or all worksheets are checked for errors and discrepancies and these are listed (without claiming to be complete).
Three categories of results are distinguished:
- informative (blue): inconsistencies that may well be intentional (can be hidden by clicking on the corresponding legend entry).
- alarming (yellow): problems that should definitely be fixed by the time the calculation is completed, but do not affect the function of the application.
- crucial (red): errors that must be fixed, otherwise certain functions (such as synchronization) will not work.
Please note: The check does not replace the manual review by the calculator!</t>
  </si>
  <si>
    <t>The upper graphic shows the supplier structure stored for the component. Double-click on the corresponding graphic to remove a supplier from the supply chain.
Below the graphic, the suppliers available in the calculation are listed. Double-click to add a supplier to the supply chain.
The length of the displayable supply chain is limited to three suppliers.
Please note: The supplier ID does not automatically correspond to the position of the supplier in the premise tab nor does it provide information about its tier level within the supplier structure!</t>
  </si>
  <si>
    <t>Loads the CO₂ module and permanently integrates the corresponding functions and contents into the calculation.
Please note: This cannot be undone!</t>
  </si>
  <si>
    <t>First Steps</t>
  </si>
  <si>
    <t>The AWS Toolbox</t>
  </si>
  <si>
    <t>Version Control</t>
  </si>
  <si>
    <t>Project template</t>
  </si>
  <si>
    <t>Addins and Modules</t>
  </si>
  <si>
    <t>Transfer</t>
  </si>
  <si>
    <t>Calculation (1 of 2)</t>
  </si>
  <si>
    <t>Calculation (2 of 2)</t>
  </si>
  <si>
    <t>Basics</t>
  </si>
  <si>
    <t>Welcome!</t>
  </si>
  <si>
    <t>The picture frame displays the pictures stored in the picture folder for the selected row or block.</t>
  </si>
  <si>
    <t>Renames all pictures in the assigned picture folder that were assigned to a part in column R to the name formed in column A.</t>
  </si>
  <si>
    <t>Opens the assigned picture folder.</t>
  </si>
  <si>
    <t>Changes the location of the assigned picture folder.</t>
  </si>
  <si>
    <t>Deletes the path of the designated picture folder.
Only the connection is reset, the folder remains untouched.</t>
  </si>
  <si>
    <t>Vor Beginn der Kalkulation ist sicherzustellen, dass
- die AWS Toolbox installiert und aktiviert ist
- die neuste auf dem Server bereitgestellte Version des ACT verwendet wird
Beim Erstellen einer neuen Kalkulation sollte nach Möglichkeit die folgende Reihenfolge eingehalten werden: 
1. Sprache wählen
2. (Wenn möglich online arbeiten)
3. Projektvorlage wählen
4. Benötigte Addins laden
5. Prämissen: Lieferanten an- und Overheads festlegen
6. BOM befüllen (und Bilderkatalog anlegen)
7. BOM in Kalkulation übertragen 
[ACT - BOM - Übertrag]
8. Kalkulation vervollständigen
9. Überprüfung auf Fehler und Ungereimtheiten 
[ACT - Erweitert - Check]
In den folgenden Abschnitten werden die genannten Schritte näher erläutert.</t>
  </si>
  <si>
    <t>Für eine im ACT erstellte Kalkulation wird - im Gegensatz zum ADC, ASC und ATC - im Normalfall keine seperate Output-Datei generiert. 
Der Kunde bekommt also dieselbe Datei zur Verfügung gestellt.
Allerdings sind für Benutzer außerhalb der AWS-Domäne eine Vielzahl von Schaltflächen nicht sichtbar und die dazugehörigen Funktionen nicht verfügbar.
Zusätzlich sind sämtliche dunkelgrau (Grau, Akzent 4) eingefärbten Reiter (gilt auch für nachträglich hinzugefügte - entsprechend eingefärbte - Reiter) komplett ausgeblendet.
Darüber hinaus sind auch bestimmte Spalten ausgeblendet und einige Inhalte der Hilfeleiste werden nicht angezeigt.
Diese 'Kundenansicht' kann man sich über das Menü [ACT - Hilfe - Kundenansicht simulieren] testweise anzeigen lassen werden.
Achtung: Die komplett ausgeblendeten (dunkelgrauen) Reiter lassen sich zwar nicht einfach per Rechtsklick wieder einblenden, sind aber nach wie vor in der Datei enthalten. 
Arbeitsblätter mit Inhalten, die in gar keinem Fall in Kundenhände fallen dürfen, müssen entsprechend vor dem Versand manuell gelöscht werden!</t>
  </si>
  <si>
    <t>Prämissen: Lieferanten</t>
  </si>
  <si>
    <t>Prämissen: Overheads</t>
  </si>
  <si>
    <t>Premises: Suppliers</t>
  </si>
  <si>
    <t>Premises: Overheads</t>
  </si>
  <si>
    <t>A%</t>
  </si>
  <si>
    <t>B%</t>
  </si>
  <si>
    <t>C%</t>
  </si>
  <si>
    <t>D%</t>
  </si>
  <si>
    <t>F%</t>
  </si>
  <si>
    <t>E%</t>
  </si>
  <si>
    <t>G%</t>
  </si>
  <si>
    <t>H%</t>
  </si>
  <si>
    <t>I%</t>
  </si>
  <si>
    <t>J%</t>
  </si>
  <si>
    <t>Fert.</t>
  </si>
  <si>
    <t>Cost analysis</t>
  </si>
  <si>
    <t>Auswertung Kosten</t>
  </si>
  <si>
    <t>CO₂ Analysis</t>
  </si>
  <si>
    <t>Auswertung CO₂</t>
  </si>
  <si>
    <t>Show/hide the cost analysis columns.</t>
  </si>
  <si>
    <t>Show/hide the CO₂ analysis columns.</t>
  </si>
  <si>
    <t>Ein-/Ausblenden der Kostenauswertung.</t>
  </si>
  <si>
    <t>Ein-/Ausblenden der CO₂-Auswertung.</t>
  </si>
  <si>
    <t xml:space="preserve">Mfg. </t>
  </si>
  <si>
    <t xml:space="preserve">Mat. </t>
  </si>
  <si>
    <t>CO₂-Ausstoß Fertigung</t>
  </si>
  <si>
    <t>CO₂-Ausstoß Material</t>
  </si>
  <si>
    <t>Emissionsfaktor Strom</t>
  </si>
  <si>
    <t>Emissionsfaktor Erdgas</t>
  </si>
  <si>
    <t>Factor Electricity</t>
  </si>
  <si>
    <t>Factor Natural gas</t>
  </si>
  <si>
    <t>Avg. Electricity
[kWh]</t>
  </si>
  <si>
    <t>CO₂ emissions Mfg.</t>
  </si>
  <si>
    <t>CO₂ emissions Mat.</t>
  </si>
  <si>
    <t>Emission factor Natural gas</t>
  </si>
  <si>
    <t xml:space="preserve">Total </t>
  </si>
  <si>
    <t>Worker utilization</t>
  </si>
  <si>
    <t>Production utilization</t>
  </si>
  <si>
    <t>Here the effective labor costs (LC) of a setup worker per hour are displayed. 
A distribution time according to the selected premises (Worker utilization) is considered.
LC eff. = Hourly wage / Worker utilization</t>
  </si>
  <si>
    <t>Hier werden die effektiven Arbeitskosten (AK) eines Einstellers pro Stunde angezeigt.
Dabei wird eine Verteilzeit gemäß der ausgewählten Premissen (Verfügbarkeit Werker) berücksichtigt.
AK eff. = Stundenlohn / Verfügbarkeit Werker</t>
  </si>
  <si>
    <t>Der Projektleiter hat die Möglichkeit zu Beginn eines Projektes eine spezifische Projektvorlage anzulegen und den am Projekt beteiligten Mitarbeitern zur Verfügung zu stellen.
Über eine solche Vorlage können beispielsweise projektspezifische Datenbanken (Spalte MHR etc.) eingebunden oder der Zugriff auf bestimmte Addins (Spalte ACT-X etc.) gesteuert werden.
Achtung: Soweit durch den Projektleiter nicht anders kommuniziert, ist immer die Standardvorlage 'Default' zu verwenden!</t>
  </si>
  <si>
    <t>The project manager has the possibility to create a specific project template at the beginning of a project and to make it available to the employees involved in the project.
Such a template can be used to integrate project-specific databases (column MHR etc.) or to control access to specific add-ins (column ACT-X etc.).
Please note: Unless otherwise specified by the project manager, the standard template 'Default' is to be used!</t>
  </si>
  <si>
    <t>Transpose</t>
  </si>
  <si>
    <t>Auto Transpose</t>
  </si>
  <si>
    <t>pcs.</t>
  </si>
  <si>
    <t>gCO₂eq/Stk.</t>
  </si>
  <si>
    <t>gCO₂eq/pcs.</t>
  </si>
  <si>
    <t>This tutorial is intended to help you get started with ACT 6 and to explain the basic functions for calculating.
It is recommended to read through at least the first three sections. 
Further sections can be read at a later time as required.
The tutorial can be accessed again at any time via the menu [ACT - Help - Tutorial].
(The check mark at the bottom right determines whether the position of the small window is automatically adjusted when the position or size of the application changes).</t>
  </si>
  <si>
    <t>The central element of the ACT is the ACT ribbon integrated into the Excel interface.
All functions relevant for the calculation can be called up via this ribbon.
The displayed buttons change depending on the currently active worksheet (BOM, Calculation etc.) and the currently loaded addins (ACT-X, ACT-Q etc.).
When staying with the cursor over a button, a small window with information about the respective function is displayed.
In order to find your way around within the worksheets, a window can be displayed via the menu [ACT - Help - Help bar], which provides detailed information and, if necessary, instructions on the currently selected row/column/cell or on the currently displayed user form.
For some user forms, the help bar must first be displayed and then the user form opened so that the help is visible.</t>
  </si>
  <si>
    <t>Before starting the calculation, make sure that
- the AWS Toolbox is installed and activated
- the latest version of ACT available on the server is used.
When creating a new calculation, the following process sequence should be followed whenever possible: 
1. Select language
2. Work online if possible
3. Choose project template
4. Load required addins
5. Premises: Set suppliers and overheads
6. Fill BOM (and create image catalog)
7. Transfer BOM to calculation 
[ACT - BOM - Transfer]
8. Complete calculation
9. Check for errors and inconsistencies 
[ACT - Advanced - Check]
The following sections explain the above steps in more detail.</t>
  </si>
  <si>
    <t>The AWS Toolbox is a VSTO add-in for Excel that provides cross-workbook functions. 
This allows functions to be used throughout the company, regardless of the template used.
A key feature of the ACT is the sync function, which makes all master data and quick calculators available locally and keeps them up-to-date. 
This means that they are also available in offline mode.
Please follow the link (top right) to get more information.</t>
  </si>
  <si>
    <t>For all tools used at AWS, sometimes small changes, adaptations or innovations occur on a regular basis, which are entered quickly and unbureaucratically and therefore do not always result in a versioning.
Therefore, at the beginning of each new ACT calculation, the calculator must ensure that the latest template stored on the server (see link above right) is always used.
Please note: It is not allowed to save templates locally and use them for new calculations!
The versioning of all AWS tools follows the logic 
[Major.Minor.Build-Revision].
The following compatibilities apply to the ACT: Different major levels are not compatible, different minor levels have limited compatibility, different build levels have unlimited compatibility. The compatibility refers e.g. to the copy and paste of BOM lines, calculation blocks etc.</t>
  </si>
  <si>
    <t>The language in which the calculation is created should be agreed with the customer in advance, if possible.
The selected language not only affects headings and explanations in the document, but also determines in which language elements of the calculation are added. 
This concerns machine, material and location data, but also imported cycle times from quick calculators or automatically inserted blocks during the synchronization of BOM and calculation.
Although the language can be changed at any time, this sometimes involves considerable additional effort, since in addition to the manual entries, the above-mentioned automatically inserted elements also have to be translated manually.
It is quite intended that the creation of the calculation is also done in the language in which the result should be available, in order to make the calculator familiar with the terminology.</t>
  </si>
  <si>
    <t>Depending on the availability or speed of a network connection, it may make sense to work offline. 
In offline mode, the data provided on the local hard disk via the AWS Toolbox is used instead of the data located on the server. 
This applies to databases, quick calculators and material price calculators, addins, and the project overview.
Note that resources used in offline mode may not be up to date because changes are not applied until the data is synchronized [Start - AWS - Toolbox - Sync]. 
It is therefore advisable to work online whenever possible.
Please note: To keep the locally stored data up to date, it is imperative to always keep the AWS Toolbox activated and to update the data when prompted to do so!</t>
  </si>
  <si>
    <t>A whole range of ACT functions are outsourced to addins provided on the server. 
The actual calculation file is correspondingly much smaller and works faster. 
Addins can be activated and deactivated at any time and as needed.
In contrast, modules are loaded once and permanently extend the calculation with specific functions and content.
Certain addins and modules are only available if they have been enabled by the project manager via the project template to be used.
All addins and modules are provided and kept up-to-date locally via the AWS Toolbox and are accordingly also available in offline operation.
Addins as well as the functions contained in addins are not available to customers.</t>
  </si>
  <si>
    <t>Via the menu [ACT - Premises - Overhead] in the tab 'Premises' several options are available how the different overheads are formed.
Indirect manufacturing and material rates can be displayed on machine or material level (1), combined (2) or according to a fixed premise (3):
(1) An individual rate is calculated and applied for each line in the cost estimate. This is the default setting.
(2) The rate is also calculated line by line, but the total resulting rate is applied as a supplier-wide homogeneous rate.
(3) The rate corresponds to the value entered by the calculator for each supplier.
SG&amp;A and profit rates always follow the input of the calculator, but can be given combined (1) or split (2):
(1) A single rate is used for added value and material. This is the default setting.
(2) A separate rate is used for added value and material.
Please follow the link (top right) for more information.</t>
  </si>
  <si>
    <t>The BOM contains all assemblies and individual parts of a product and shows their composition across all production stages in tabular form.
The top line of structural level 1 represents the total assembly that is analyzed. This level is unique and may not be assigned more than once!
The subcomponents contained are contained in the subsequent structural levels (2 to n). The structure is to be built up hierarchically.
The indentation in column D and the color of a line indicate the respective structure level. Lines with a level greater than 8 remain white.
By double-clicking on the structural level of a line in column C, an empty line of the same level is inserted below it.
If you change the structure level of a row, the color scheme of this row will be adjusted automatically.
The help bar contains further information about the cells to be filled.</t>
  </si>
  <si>
    <t>The picture catalog contains the pictures that represent the individual assemblies and parts.
To keep the file size of the calculation as small as possible, all images are stored in a folder and this is then linked to the calculation via the menu [ACT - BOM - Pic - Change folder path].
These can be taken either during the disassembly or in the form of screenshots from technical drawings or the like. The assignment of picture and part is done by an entry in column R of the BOM (the corresponding entry of the help bar contains detailed instructions on how to do this).
The images can then be renamed to the names formed in column A by clicking on [ACT - BOM - Pic - Rename images].
Via the menu [ACT - BOM or Calculation - Pic - Picture Frame] a small window can be displayed that shows the pictures belonging to the selected BOM line or the selected calculation block.
The prerequisite for this is a connection to the stored picture folder and the presence of a picture with the number or designation stored in column R of the BOM.</t>
  </si>
  <si>
    <t>Via the menu [ACT - BOM or Calculation - Carry] BOM and calculation can be synchronized to each other.
In ACT 6 each line in the BOM belongs to exactly one block in the calculation.
After the BOM has been built up for the first time, it is transferred to the calculation by creating a block for each line, linking it accordingly and filling it with the existing information.
If the structure on a page is changed by adding, moving or deleting lines or blocks, these changes can also be synchronized accordingly.
However, the subsequent synchronization only refers to the structure of BOM and cost estimate and not to their content.
So if the material or the weight is adjusted in the BOM, this change must also be made manually in the cost estimate.
Alternatively, individual lines or blocks can also be deleted and recreated ('Redo' in the user form), but content already inserted will then be overwritten.
The help bar contains further information about the described user form.</t>
  </si>
  <si>
    <t>Each line in the BOM has a block in the calculation.
The BOM should always form the structural basis. Changes in the structure should therefore be made in the BOM if possible and the cost estimate synchronized accordingly afterwards.
Furthermore, all entries in the header (the first line of each block) are linked to the BOM. The name, number and supplier structure of a block must also be adjusted accordingly in the corresponding BOM line.
By [Right-click - Show in BOM] within a header of a block, you can go directly to the corresponding BOM line (and back again in the same way).
The analysis [ACT - Calculation - Analysis] shows by means of a waterfall how the costs in the active cell are composed.
The [ACT - Calculation - Analysis - Info bar] menu can be used to display a small window containing information about the composition of the costs shown in the selected cell or the animal surcharge shown.
The help bar contains further information about the cells to be filled and the described user forms.</t>
  </si>
  <si>
    <t>To keep track of the numerous columns of the calculation, different views [ACT - Calculation - View] are available. 
Some columns are always visible, others are either shown or hidden depending on the selected view.
The input view gives access to all columns essential for filling the calculation, but sometimes omits crucial information for the customer.
Before sending and for presentation purposes, the presentation or compact view should be used.
Columns can be shown and hidden via the menu [ACT - Calculation - View - Edit View]. 
However, the default views cannot be overwritten. If the 'Custom View' is selected and changed, however, the adjustments are retained (the entry in the help bar for this user form contains more detailed information on this).
If required, special columns can be added via the menu [ACT Calculation - Columns], which are then always visible if the check mark is set.</t>
  </si>
  <si>
    <t>Via the menu [ACT - Advanced - Check] either only the active worksheet or all worksheets are checked for errors and discrepancies depending on the selection and these are listed (without claim to completeness).
Besides Excel errors (#REFERENCE! etc.) and errors in the operation (insertion of lines without formulas, use of not created materials etc.) also discrepancies in the calculation logic are listed.
Three categories of results are distinguished:
- informative (blue): discrepancies that may well be intentional (can be hidden by clicking on the corresponding legend entry).
- alarming (yellow): problems that should definitely be fixed until the calculation is completed, but do not affect the function of the application.
- Critical (red): Errors that must be corrected, otherwise certain functions (such as synchronization) will not work.
Please note: The check is only a help and does not replace the manual review by the calculator!</t>
  </si>
  <si>
    <t>Picture catalog</t>
  </si>
  <si>
    <t>Montage</t>
  </si>
  <si>
    <t>Kohle</t>
  </si>
  <si>
    <t>Rohöl</t>
  </si>
  <si>
    <t>Kernkraft</t>
  </si>
  <si>
    <t>Wasser</t>
  </si>
  <si>
    <t>Solar</t>
  </si>
  <si>
    <t>Biomasse</t>
  </si>
  <si>
    <t>Geothermie</t>
  </si>
  <si>
    <t>Konventionell</t>
  </si>
  <si>
    <t>Ökostrom</t>
  </si>
  <si>
    <t>CO₂-Ausstoß Sonstige (Logistik etc.)</t>
  </si>
  <si>
    <t>Conventional</t>
  </si>
  <si>
    <t>Green energy</t>
  </si>
  <si>
    <t>Wird lieferantenspezifisch aus den Prämissen übernommen.
Siehe Reiter 'Premises' für eine detaillierte Beschreibung.
Achtung: Ist das CO₂-Modul geladen und das entsprechende Szenario aktiviert, wird hier der für den ausgewählten Energiemix ausgerechnete Strompreis verwendet!</t>
  </si>
  <si>
    <t>Taken from the premises on a supplier-specific basis.
See tab 'Premises' for a detailed description.
Please note: If the CO₂ module is loaded and the corresponding scenario is activated, the electricity price calculated for the selected energy mix is used here!</t>
  </si>
  <si>
    <t>Zusatzkosten CO₂-Neutralität</t>
  </si>
  <si>
    <t>Hafen</t>
  </si>
  <si>
    <t>Lat</t>
  </si>
  <si>
    <t>Long</t>
  </si>
  <si>
    <t>Datum</t>
  </si>
  <si>
    <t>Autor</t>
  </si>
  <si>
    <t>Beschreibung</t>
  </si>
  <si>
    <t>Einfügen Änderungsdokumentation</t>
  </si>
  <si>
    <t>Knoll, Maximilian</t>
  </si>
  <si>
    <t>Status</t>
  </si>
  <si>
    <t>abgeschlossen</t>
  </si>
  <si>
    <t>Logistics</t>
  </si>
  <si>
    <t>km</t>
  </si>
  <si>
    <t>Log.</t>
  </si>
  <si>
    <t>Latitude</t>
  </si>
  <si>
    <t>Longitude</t>
  </si>
  <si>
    <t>Entfernung zum nächsten Hafen</t>
  </si>
  <si>
    <t>decimal degrees</t>
  </si>
  <si>
    <t>CO₂ emissions Other (Logistics etc.)</t>
  </si>
  <si>
    <t>CO₂ emissions</t>
  </si>
  <si>
    <t>Dezimalgrad</t>
  </si>
  <si>
    <t>Distance to the nearest port</t>
  </si>
  <si>
    <t>years</t>
  </si>
  <si>
    <t>Geo-thermie</t>
  </si>
  <si>
    <t>Anteil am Energiemix in %</t>
  </si>
  <si>
    <t>Emissionsfaktor in gCO₂eq/kWh</t>
  </si>
  <si>
    <t>Bio-masse</t>
  </si>
  <si>
    <t>Emission factor in gCO₂eq/kWh</t>
  </si>
  <si>
    <t>Coal</t>
  </si>
  <si>
    <t>Crude oil</t>
  </si>
  <si>
    <t>Nuclear power</t>
  </si>
  <si>
    <t>Hydro</t>
  </si>
  <si>
    <t>Geo-thermal</t>
  </si>
  <si>
    <t>Share of energy mix in %</t>
  </si>
  <si>
    <t>Biomass</t>
  </si>
  <si>
    <t>Basismaterial</t>
  </si>
  <si>
    <t>Gruppe</t>
  </si>
  <si>
    <t>AWS material group</t>
  </si>
  <si>
    <t>base material</t>
  </si>
  <si>
    <t>The AWS material group to which the material is assigned.
01 Ferrous metal
02 Non-ferrous metal
03 Plastic
04 Non-metal
05 Electronics
06 Standard part
07 Wear tool
08 Consumables and auxiliary materials
09 Glass
10 Coating
11 Composites
12 Natural materials
13 Textile materials
14 Packaging
15 Other
Serves in combination with the base material as a basis for calculating the price development (only available for material groups 01, 02 and 03).</t>
  </si>
  <si>
    <t>The base material of the material.
Serves in combination with the material group as the basis for calculating the price development (only available for material groups 01, 02 and 03).</t>
  </si>
  <si>
    <t>Indirect material class</t>
  </si>
  <si>
    <t>MGK-Materialklassen</t>
  </si>
  <si>
    <t>MGK Materialklasse</t>
  </si>
  <si>
    <t>Materialklasse</t>
  </si>
  <si>
    <t>Hier ist die MGK Materialklasse des Materials auszuwählen.
Anhand der Materialklasse und der dieser zugewiesenen Parameter (Beschaffungs- und Prüfaufwand, Lagerreichweite etc.) errechnet sich der MGK-Satz des Materials.
Die standardmäßig zur Verfügung stehenden Klassen können angepasst bzw. um weitere Klassen ergänzt werden (siehe Reiter 'IndirectCosts').</t>
  </si>
  <si>
    <t>The indirect material class of the material has to be selected here.
The material class and the parameters assigned to it (procurement and inspection costs, storage range etc.) are used to calculate the material's indirect cost rate.
The classes available by default can be adapted or supplemented by further classes (see tab 'IndirectCosts').</t>
  </si>
  <si>
    <t>AWS Materialgruppe</t>
  </si>
  <si>
    <t>Die AWS Materialgruppe, der das Material zuzuordnen ist.
01 Eisenmetall
02 Nichteisenmetall
03 Kunststoff
04 Nichtmetall
05 Elektronik
06 Normteil
07 Verschleißwerkzeug
08 Verbrauchs- und Hilfsstoffe
09 Glas
10 Beschichtung
11 Verbundstoffe
12 Naturstoffe
13 Textilstoffe
14 Verpackung
15 Sonstige
Dient in Kombination mit dem Basismaterial als Grundlage zur Berechnung der Preisentwicklung (nur verfügbar für die Materialgruppen 01, 02 und 03).</t>
  </si>
  <si>
    <t>Das Basismaterial des Materials.
Dient in Kombination mit der Materialgruppe als Grundlage zur Berechnung der Preisentwicklung (nur verfügbar für die Materialgruppen 01, 02 und 03).</t>
  </si>
  <si>
    <t>AWS Gruppe</t>
  </si>
  <si>
    <t>Emissions from transport by ship</t>
  </si>
  <si>
    <t>Emissions from transport by truck</t>
  </si>
  <si>
    <t>Emission costs</t>
  </si>
  <si>
    <t>Additional costs from CO₂ neutrality</t>
  </si>
  <si>
    <t>Zusatzkosten durch CO₂-Neutralität</t>
  </si>
  <si>
    <t>Emissions from transport by plane</t>
  </si>
  <si>
    <t>Geothermal</t>
  </si>
  <si>
    <t>Bio-mass</t>
  </si>
  <si>
    <t>Metall Coil</t>
  </si>
  <si>
    <t>Bestellzyklus</t>
  </si>
  <si>
    <t>Jährlich</t>
  </si>
  <si>
    <t>Monatlich</t>
  </si>
  <si>
    <t>Wöchentlich</t>
  </si>
  <si>
    <t>Vierteljährlich</t>
  </si>
  <si>
    <t>Halbjährlich</t>
  </si>
  <si>
    <t>Arbeitsblatt</t>
  </si>
  <si>
    <t>Die Anzahl an Stunden, die pro Jahr für die Bestellung und Nachbestellung des Materials benötigt werden.
Der Wert richtet sich nach dem Bestellaufwand der gewählten Materialklasse.</t>
  </si>
  <si>
    <t>Die Anzahl an Stunden, die pro Jahr für die Wareneingangs- und Qualitätsprüfung des Materials benötigt werden.
Der Wert richtet sich nach dem Prüfaufwand und der Spezifikation der gewählten Materialklasse. 
Unterschieden werden neun verschiedene Prüfstände (Maße, Gewicht, Dauertest, Elektronik etc.), die je nach Materialklasse in unterschiedlicher Kombination Verwendung finden..</t>
  </si>
  <si>
    <t>Die Anzahl an Stunden, die pro Jahr für das Ein-, Um- und Auslagern des Materials benötigt werden.
Der Wert richtet sich nach der Lagerart sowie des Handlingsaufwands der gewählten Materialklasse.</t>
  </si>
  <si>
    <t>Die Anzahl an Stunden, die pro Jahr für die Bestellung und Nachbestellung des Materials benötigt werden.
Der Wert richtet sich nach dem Bestellaufwand der gewählten Materialklasse (siehe Reiter 'IndirectCosts').</t>
  </si>
  <si>
    <t>Die Anzahl an Stunden, die pro Jahr für die Wareneingangs- und Qualitätsprüfung des Materials benötigt werden.
Der Wert richtet sich nach dem Prüfaufwand und der Spezifikation der gewählten Materialklasse. 
Unterschieden werden neun verschiedene Prüfstände (Maße, Gewicht, Dauertest, Elektronik etc.), die je nach Materialklasse in unterschiedlicher Kombination Verwendung finden (siehe Reiter 'IndirectCosts').</t>
  </si>
  <si>
    <t>Die Anzahl an Stunden, die pro Jahr für das Ein-, Um- und Auslagern des Materials benötigt werden.
Der Wert richtet sich nach der Lagerart sowie des Handlingsaufwands der gewählten Materialklasse (siehe Reiter 'IndirectCosts').</t>
  </si>
  <si>
    <t>Die von der gewählten Sprache abhängige Bezeichnung der Materialklasse.</t>
  </si>
  <si>
    <t>Die Bezeichnung der Materialklasse auf Deutsch.</t>
  </si>
  <si>
    <t>Die Bezeichnung der Materialklasse auf Englisch.</t>
  </si>
  <si>
    <t>Entsprechende Anpassungen in Übersetzung, Dokumentation und Tutorial</t>
  </si>
  <si>
    <t>Überarbeitung MAT:
- neue Spalte 'Gruppe' (AWS Materialgruppe 01 Eisenmetall, 03 Kunststoff etc.)
- neue Spalte 'Basismaterial'</t>
  </si>
  <si>
    <t>Überarbeitung MGK-Logik: neue Spalte 'Bestellzyklus'</t>
  </si>
  <si>
    <t>Umbennenung 'Materialgruppe' -&gt; 'MGK Materialklasse'</t>
  </si>
  <si>
    <t>Fehler behoben: Auswertung Werkzeuge und Verschleißwerkzeuge</t>
  </si>
  <si>
    <t>6.1.2</t>
  </si>
  <si>
    <t>Fehler behoben: Berechnung Anteil MGK und RFGK</t>
  </si>
  <si>
    <t>Implementierung CO2-Modul
- neue Spalten: 'Lat' und 'Long': Koordinaten in Dezimalgrad
- neue Spalte: 'Hafen': Entfernung zum nächsten Hafen in km
- neue Spalten CO2-Berechnung</t>
  </si>
  <si>
    <t>Implementierung CO2-Modul: 
Optionale Erweiterung des ACT um Funktionen zur Berechnung der verursachten CO2-Emissionen durch Produktion, Material und Transport (muss durch den Projektleiter über die Projektvorlage freigeschaltet werden!)</t>
  </si>
  <si>
    <t>The number of hours required per year for ordering and reordering the material.
The value depends on the ordering effort of the selected indirect material class.</t>
  </si>
  <si>
    <t>The number of hours required per year for goods receipt and quality inspection of the material.
The value depends on the testing effort and the specification of the selected indirect material class. 
Nine different test stands are distinguished (dimensions, weight, endurance test, electronics etc.), which are used in different combinations depending on the indirect material class.</t>
  </si>
  <si>
    <t>The number of hours required per year for storing, transferring and retrieving the material.
The value depends on the storage type as well as the handling effort of the selected indirect material class.</t>
  </si>
  <si>
    <t>The number of hours required per year for ordering and reordering the material.
The value depends on the ordering effort of the selected indirect material class (see tab 'IndirectCosts').</t>
  </si>
  <si>
    <t>The number of hours required per year for goods receipt and quality inspection of the material.
The value depends on the testing effort and the specification of the selected indirect material class. 
Nine different test stands are distinguished (dimensions, weight, endurance test, electronics etc.), which are used in different combinations depending on the indirect material class (see tab 'IndirectCosts').</t>
  </si>
  <si>
    <t>The number of hours required per year for storing, transferring and retrieving the material.
The value depends on the storage type as well as the handling effort of the selected indirect material class (see tab 'IndirectCosts').</t>
  </si>
  <si>
    <t>The name of the indirect material class depending on the selected language.</t>
  </si>
  <si>
    <t>The name of the indirect material class in German.</t>
  </si>
  <si>
    <t>The name of the indirect material class in English.</t>
  </si>
  <si>
    <t>Fehler behoben: Bildung MGK und RFGK ("Fehler 2,5 % und 15 %")</t>
  </si>
  <si>
    <t>Bestell-
zyklus</t>
  </si>
  <si>
    <t>Ordering
cycle</t>
  </si>
  <si>
    <t>Beschreibt, in welchem Turnus das Material bestellt, geprüft und eingelagert wird.
Der Bestellzyklus hat erheblichen Einfluss auf die Zeit, die pro Jahr für Beschaffung, Wareneingangs- und Qualitätskontrollen sowie Lagerbewegungen aufgewendet wird.</t>
  </si>
  <si>
    <t>Describes the cycle in which material is ordered, inspected and put into stock.
The ordering cycle has a significant influence on the time spent per year on procurement, goods receipt and quality checks, and stock movements.</t>
  </si>
  <si>
    <t>Die Zeit in Wochen, die der Lieferant das Material vorhalten muss.
Dieser Wert bestimmt, über welchen Zeitraum Kosten für Kapitalbindung und Versicherung sowie Lagerplatzkosten anfallen.
Standardmäßig wird eine Lagerreichweite von 4 Wochen angenommen.</t>
  </si>
  <si>
    <t>Situational: The value of the CO₂ emissions caused by the production of one unit of the material is entered here in kg.
When the CO₂ module is activated, double-clicking on the corresponding cell opens a window that can be used to estimate the CO₂ emissions for purchased parts.
Please note: This value is only relevant if a CO₂ evaluation has been ordered.</t>
  </si>
  <si>
    <t>Enables the CO₂ emissions caused by the production of purchased parts to be estimated on the basis of the materials used.
It is necessary to specify how the purchase price of the purchased part is distributed among the materials used.
The percentage share of the total price is entered in the respective text box and the corresponding category is selected via the drop-down menu.
An average value for the CO₂ emissions per monetary unit in gCO2eq/EUR is provided for each category.</t>
  </si>
  <si>
    <t>Situativ: Hier wird der Wert der durch die Herstellung einer Einheit des Materials verursachten CO₂-Emissionen in kg eingetragen.
Bei aktiviertem CO₂-Modul öffnet sich per Doppelklick auf die entsprechende Zelle ein Fenster, mit dem sich der CO₂-Ausstoß für Zukaufteile abschätzen lässt.
Achtung: Dieser Wert ist nur von Belang, wenn eine CO₂-Auswertung in Auftrag gegeben wurde.</t>
  </si>
  <si>
    <t>AWS group</t>
  </si>
  <si>
    <t>Base material</t>
  </si>
  <si>
    <t>CO₂
[kg/Unit]</t>
  </si>
  <si>
    <t>Emissions from transport by train</t>
  </si>
  <si>
    <t>Steel</t>
  </si>
  <si>
    <t>Stahl</t>
  </si>
  <si>
    <t>Manufacturing overhead</t>
  </si>
  <si>
    <t>Emissionskosten</t>
  </si>
  <si>
    <t>Overhead Produktion</t>
  </si>
  <si>
    <t>Emissionen durch Transport per Flugzeug</t>
  </si>
  <si>
    <t>Emissionen durch Transport per Schiff</t>
  </si>
  <si>
    <t>Emissionen durch Transport per Zug</t>
  </si>
  <si>
    <t>Emissionen durch Transport per LKW</t>
  </si>
  <si>
    <t>Über das Menü [ACT - Prämissen - Overhead] im Reiter 'Premises' stehen mehrere Optionen zur Verfügung, wie die verschiedenen Overheads gebildet werden.
RFGK- bzw. MGK- Sätze können auf Maschinen- bzw. auf Materialebene (1), auf Lieferantenebene (2) oder entsprechend einer fixen Vorgabe (3) dargestellt werden:
(1) Für jede Zeile in der Kalkulation wird ein individueller Satz berechnet und angewandt. Dies ist die Standardeinstellung.
(2) Auch hier wird der Satz zeilenweise erechnet, aber der insgesamt resultierende Anteil als lieferantenweiter homogener Satz angewandt.
(3) Der Satz entspricht dem je Lieferant durch den Kalkulator eingetragenen Wert.
VVGK- und Gewinnsätze folgen immer der Eingabe des Kalkulators, können aber kombiniert (1) oder aufgeteilt (2) vorgegeben werden:
(1) Für Wertschöpfung und Material wird ein einheitlicher Satz verwendet. Dies ist die Standardeinstellung.
(2) Für Wertschöpfung und Material wird jeweils ein eigener Satz verwendet.
Bitte dem Link (oben rechts) folgen, um weitere Informationen zu erhalten.</t>
  </si>
  <si>
    <t>Dieses Tutorial soll den Einstieg in das ACT 6 erleichtern und die für die Kalkulation grundlegenden Funktionen erläutern.
Es wird empfohlen zumindest die ersten drei Abschnitte durchzulesen. 
Weitere Abschnitte können je nach Bedarf zu einem späteren Zeitpunkt nachgeholt werden.
Das Tutorial kann jederzeit über das Menü [ACT - Hilfe - Tutorial] wieder aufgerufen werden.
(Das Häkchen unten rechts bestimmt, ob die Position dieses kleinen Fensters automatisch angepasst wird, wenn Position oder Größe der Anwendung sich ändern.)</t>
  </si>
  <si>
    <t>Über das Menü [ACT - Prämissen - Lieferant] im Reiter 'Premises' lassen sich Lieferanten neu anlegen, klonen oder löschen.
Jedem angelegten Lieferant ist eine Spalte mit Prämissen zugeordnet, die entsprechend zu befüllen ist. 
Rechts neben dieser Spalte befindet sich eine weitere (ggf. ausgeblendete) Spalte mit (zum Teil vom gewählten Fertigungsort abhängigen) Vorschlägen. Diese können entweder direkt übernommen/verlinkt oder als Anhaltspunkt für eigene Eintragungen verwendet werden.
Achtung: Da sich das Hinzufügen und Löschen von Lieferanten auch auf andere Arbeitsblätter auswirkt, muss dies immer über die entsprechenden Schaltflächen erfolgen!
Die Hilfeleiste enthält weiterführende Informationen zu den zu befüllenden Zellen.</t>
  </si>
  <si>
    <t>Via the menu [ACT - Premises - Supplier] in the tab 'Premises' suppliers can be created, cloned or deleted.
A column with premises is assigned to each created supplier, which is to be filled in accordingly. 
To the right of this column there is another (possibly hidden) column with suggestions (sometimes depending on the selected production location). These can either be taken over/linked to directly or used as a reference point for your own entries.
Please note: Since adding and deleting suppliers also affects other worksheets, this must always be done using the corresponding buttons!
The help bar contains further information about the cells to be filled.
A whole range of ACT functions are outsourced to addins provided on the server.</t>
  </si>
  <si>
    <t>Umbenennung CO2-Spalten</t>
  </si>
  <si>
    <t>CO₂-Emissionen</t>
  </si>
  <si>
    <t>Verpackung</t>
  </si>
  <si>
    <t>Transport</t>
  </si>
  <si>
    <t>Zoll</t>
  </si>
  <si>
    <t>Logistik-Modul</t>
  </si>
  <si>
    <t>Loads the logistics module and permanently integrates the corresponding functions and contents into the calculation.
Please note: This cannot be undone!</t>
  </si>
  <si>
    <t>Lädt das Logistik-Modul und integriert die entsprechenden Funktionen und Inhalte dauerhaft in die Kalkulation.
Achtung: Dies kann nicht rückgängig gemacht werden!</t>
  </si>
  <si>
    <t>mnuLog</t>
  </si>
  <si>
    <t>Logistik-Modul zugelassen</t>
  </si>
  <si>
    <t>Ermöglicht das Abschätzen der durch die Produktion von Zukaufteilen ausgestoßenen CO₂-Emissionen anhand der eingesetzen Materialien.
Anzugeben ist, wie sich das Gesamtgewicht des Zukaufteils auf die eingesetzen Materialien verteilt.
In die jeweilige Textbox wird der abgeschätzte prozentuale Anteil am Gewicht eingetragen und über das Dropdown-Menü die entsprechende Kategorie ausgewählt.
Zu jeder Kategorie ist ein gemittelter Wer für den CO₂-Ausstoß je kg in gCO2eq/kg hinterlegt.</t>
  </si>
  <si>
    <t>mnuModules</t>
  </si>
  <si>
    <t>Modules</t>
  </si>
  <si>
    <t>Module</t>
  </si>
  <si>
    <t>Lädt das ACT-Q Entwicklungskosten-Modul und integriert die entsprechenden Funktionen und Inhalte dauerhaft in die Kalkulation.
Achtung: Dies kann nicht rückgängig gemacht werden!</t>
  </si>
  <si>
    <t>cbxModuleCO2</t>
  </si>
  <si>
    <t>cbxModuleLog</t>
  </si>
  <si>
    <t>Loads the ACT-Q tooling costs module and permanently integrates the corresponding functions and contents into the calculation.
Please note: This cannot be undone!</t>
  </si>
  <si>
    <t>Lädt das ACT-Q Werkzeugkosten-Modul und integriert die entsprechenden Funktionen und Inhalte dauerhaft in die Kalkulation.
Achtung: Dies kann nicht rückgängig gemacht werden!</t>
  </si>
  <si>
    <t>Tooling costs</t>
  </si>
  <si>
    <t>Entwicklungskosten</t>
  </si>
  <si>
    <t>cbxModuleTooling</t>
  </si>
  <si>
    <t>cbxModuleEDnT</t>
  </si>
  <si>
    <t>mnuQModules</t>
  </si>
  <si>
    <t>ACT-Q Module werden einmalig geladen und erweitern das ACT-Q Addin um die entsprechenden Funktionen. 
Diese Funktionen sind nur bei geladenem ACT-Q Addin verfügbar.
Die zur Verfügung stehenden Module varieren je nach ausgewählter Projektvorlage.</t>
  </si>
  <si>
    <t>ACT-Q modules are loaded once and extend the ACT-Q Addin with the corresponding functions. 
These functions are only available when the ACT-Q Addin is loaded.
The available modules vary depending on the selected project template.</t>
  </si>
  <si>
    <t>mnuAddins</t>
  </si>
  <si>
    <t>ACT-Q modules</t>
  </si>
  <si>
    <t>ACT-Q Module</t>
  </si>
  <si>
    <t>Werzeugkosten-Modul zugelassen</t>
  </si>
  <si>
    <t>Entwicklungskosten-Modul zugelassen</t>
  </si>
  <si>
    <t>6.1.3</t>
  </si>
  <si>
    <t>Logistics module</t>
  </si>
  <si>
    <t>CO₂ module</t>
  </si>
  <si>
    <t>Module werden - im Gegensatz zu Addins - einmalig geladen und erweitern die Kalkulation dauerhaft.
Die zur Verfügung stehenden Module varieren je nach ausgewählter Projektvorlage.</t>
  </si>
  <si>
    <t>Modules - in contrast to addins - are loaded once and extend the calculation permanently.
The available modules vary depending on the selected project template.</t>
  </si>
  <si>
    <t>mnuTooling</t>
  </si>
  <si>
    <t>mnuEDnT</t>
  </si>
  <si>
    <t>Werkz.-kosten</t>
  </si>
  <si>
    <t>Entw.-kosten</t>
  </si>
  <si>
    <t>Technologieschnellrechner</t>
  </si>
  <si>
    <t>EDnT costs</t>
  </si>
  <si>
    <t>Loads the ACT-Q EDnT module and permanently integrates the corresponding functions and contents into the calculation.
Please note: This cannot be undone!</t>
  </si>
  <si>
    <t>btnTooling1</t>
  </si>
  <si>
    <t>btnEDnT1</t>
  </si>
  <si>
    <t>Update EDnT</t>
  </si>
  <si>
    <t>Entwicklungskosten aktualisieren</t>
  </si>
  <si>
    <t>Umstellung Icons auf MS Standard</t>
  </si>
  <si>
    <t>Implementierung ACT-Q Werkzeugkosten (Inhalt folgt)</t>
  </si>
  <si>
    <t>Implementierung ACT-Q Entwicklungskosten (Inhalt folgt)</t>
  </si>
  <si>
    <t>Packaging</t>
  </si>
  <si>
    <t>Customs</t>
  </si>
  <si>
    <t>Fehler behoben: Kundenansicht simulieren: Nicht sichtbare Arbeitsblätter wurden nicht korrekt wieder eingeblendet</t>
  </si>
  <si>
    <t>cm</t>
  </si>
  <si>
    <t>EOAT</t>
  </si>
  <si>
    <t>Werkzeug</t>
  </si>
  <si>
    <t>Prozess</t>
  </si>
  <si>
    <t>Anzahl Kavitäten</t>
  </si>
  <si>
    <t>Komplexität</t>
  </si>
  <si>
    <t>PT-Werkzeug</t>
  </si>
  <si>
    <t>Lehren etc.</t>
  </si>
  <si>
    <t>Aufnahmen etc.</t>
  </si>
  <si>
    <t>Process</t>
  </si>
  <si>
    <t>Number of cavities</t>
  </si>
  <si>
    <t>Complexity</t>
  </si>
  <si>
    <t>PT Tool</t>
  </si>
  <si>
    <t>Gauges etc.</t>
  </si>
  <si>
    <t>Jigs etc.</t>
  </si>
  <si>
    <t xml:space="preserve">Tool </t>
  </si>
  <si>
    <t>TEC ID</t>
  </si>
  <si>
    <t>TEC
ID</t>
  </si>
  <si>
    <t>Zugehörige TEC ID</t>
  </si>
  <si>
    <t>Corresponding TEC ID</t>
  </si>
  <si>
    <t>dm²</t>
  </si>
  <si>
    <t>cm²</t>
  </si>
  <si>
    <t>mg</t>
  </si>
  <si>
    <t>g</t>
  </si>
  <si>
    <t>ml</t>
  </si>
  <si>
    <t>cl</t>
  </si>
  <si>
    <t>mm</t>
  </si>
  <si>
    <t>dm</t>
  </si>
  <si>
    <t>cm³</t>
  </si>
  <si>
    <t>dm³</t>
  </si>
  <si>
    <t>mm³</t>
  </si>
  <si>
    <t>mm²</t>
  </si>
  <si>
    <t>Units</t>
  </si>
  <si>
    <t>Einheiten</t>
  </si>
  <si>
    <t>Basis</t>
  </si>
  <si>
    <t>6.1.4</t>
  </si>
  <si>
    <t>btnTooling2</t>
  </si>
  <si>
    <t>Ist das CO₂-Szenario aktiviert, wird der über das CO₂-Modul im Reiter 'Premises' berechnete Strompreis verwendet und ggf. Kosten für die CO₂-Neutralität zum Endpreis hinzuaddiert.</t>
  </si>
  <si>
    <t>CO₂-Neutralität</t>
  </si>
  <si>
    <t>CO₂ neutrality</t>
  </si>
  <si>
    <t>Ist die CO₂-Neutralität aktiviert, werden die errechneten Emissionen durch den Kauf von Zertifikaten ausgeglichen.</t>
  </si>
  <si>
    <t>If the CO₂ scenario is activated, the electricity price calculated via the CO₂ module in the 'Premises' tab is used and, if applicable, costs for CO₂ neutrality are added to the final price.</t>
  </si>
  <si>
    <t>If CO₂ neutrality is activated, the calculated emissions are offset by the purchase of certificates.</t>
  </si>
  <si>
    <t>CO₂ emissions (1 of 2)</t>
  </si>
  <si>
    <t>CO₂ emissions (2 of 2)</t>
  </si>
  <si>
    <t>CO₂-Emissionen (1 von 2)</t>
  </si>
  <si>
    <t>CO₂-Emissionen (2 von 2)</t>
  </si>
  <si>
    <t>Durch Laden des CO₂-Moduls werden der Kalkulation Funktionen zur Berechnung der durch das betrachtete Bauteil verursachten CO₂-Emissionen hinzugefügt.
Im ACT-Menü erscheinen neue Schaltflächen, mit Hilfe derer das CO₂-Szenario aktiviert werden sowie die CO₂-Neutralität ein- und ausgeschaltet werden kann.
Bei aktivem CO₂-Szenario wird zur Berechnung der Stromkosten eines jeden Lieferanten anstatt des vorgebenen Strompreises der im Reiter 'Premises' anhand des gewählten Energiemixes berechnete Strompreis verwendet.
Ist weiterhin die CO₂-Neutralität aktiviert, werden verursachte Emissionen durch den Kauf von Zertifikaten ausgeglichen und die Kosten dafür zum Endpreis hinzuaddiert.</t>
  </si>
  <si>
    <t>Loading the CO₂ module adds functions to the calculation for calculating the CO₂ emissions caused by the part in question.
New buttons appear in the ACT menu that can be used to activate the CO₂ scenario and to switch CO₂ neutrality on and off.
When the CO₂ scenario is active, the electricity price calculated in the 'Premises' tab on the basis of the selected energy mix is used to calculate the electricity costs of each supplier instead of the predefined electricity price.
If CO₂ neutrality is still activated, emissions caused are compensated by the purchase of certificates and the costs for this are added to the final price.</t>
  </si>
  <si>
    <t>Im Reiter 'Calculation' lässt sich über das Menü [ACT - Kalkulation - Spalten - Auswertung CO₂] die CO₂-Auswertung einblenden, die die durch Produktion (Strom- und Gasverbrauch der jeweiligen Maschine), Material (hinterlegter Wert im MAT-Reiter) und Logistik verursachten Emissionen je Zeile anzeigt.
Die für die Logistik anfallenden Emissionen errechnen sich über die Entfernung zwischen den für die beteiligten Lieferanten im Reiter 'Premises' hinterlegten Koordinaten. 
Erfolgt der Transport aufgrund der großen Entfernung über den Seeweg, wird zusätzlich die Strecke zum und vom Hafen berücksichtigt.
Die Prämissen, die der Berechnung zugrunde liegen, werden über den neu hinzugefügten Reiter 'CO₂' bzw. lieferantenspezifisch über den Reiter 'Premises' bestimmt. 
Hier findet sich auch die Auswertung der verursachten Emissionen je Lieferant.</t>
  </si>
  <si>
    <t>In the 'Calculation' tab, the CO₂ evaluation can be displayed via the menu [ACT - Calculation - Columns - CO₂ evaluation], which shows the emissions caused by production (electricity and gas consumption of the respective machine), material (stored value in the MAT tab) and logistics per line.
The emissions caused by logistics are calculated using the distance between the coordinates stored for the suppliers involved in the 'Premises' tab. 
If the transport takes place by sea due to the long distance, the distance to and from the port is also taken into account.
The premises on which the calculation is based are determined via the newly added tab 'CO₂' or supplier-specific via the tab 'Premises'. 
The evaluation of the emissions caused per supplier can also be found here.</t>
  </si>
  <si>
    <t>For a calculation created in ACT - in contrast to ADC, ASC and ATC - normally no separate output file is generated. 
The customer is therefore provided with the same file.
However, for users outside the AWS domain, a large number of buttons are not visible and the associated functions are not available.
In addition, all dark gray (gray, accent 4) colored tabs (also applies to subsequently added - correspondingly colored - tabs) are completely hidden.
In addition, certain columns are also hidden and some contents of the help bar are not displayed.
This 'customer view' can be displayed via the menu [ACT - Help - Simulate customer view].
Please note: The completely hidden (dark grey) tabs cannot be shown again simply by right-clicking on them, but they are still included in the file. 
Worksheets with contents that must never fall into the customer's hands must be deleted manually before sending!
The central element of the ACT is the ACT ribbon integrated into the Excel interface.</t>
  </si>
  <si>
    <t>Die TEC ID ist die ID der Technologie in der AWS Technologiedatenbank, der die Maschine zweifelsfrei zugeordnet werden kann.
Bei Verwendung des ACT-Q Werkzeugkosten-Moduls kann anhand dieser Verknüpfung das für die Maschine benötigte Werkzeug ermittelt werden.
Achtung: Wird in der Regel ein Werkzeug benötigt, aber es ist keine eindeutige Zuordnung Maschine - Technologie möglich, wird ein Fragezeichen '?' eingetragen!
Beispiele: 
Allen Spritzgussmaschinen ist die TEC ID 'IM' (Injection moulding) zugeordnet. 
Der Liste benötigter Werkzeuge wird entsprechend für jede in der Kalkulation verwendete Spritzgussmaschine ein Spritgusswerkzeug hinzugefügt.
Sämtlichen Pressen ist keine TEC ID zugeordnet, da keine eindeutige Zuordnung möglich ist (Folgeverbundwerkzeug, Transferwerzeug etc.). Da aber in der Regel ein Werkzeug benötigt wird, ist ein '?' eingetragen.
Entsprechend wird eine Zeile für das Werkzeug angelegt, die Art des Werkzeugs muss aber durch den Kalkulator manuell bestimmt werden.</t>
  </si>
  <si>
    <t xml:space="preserve">The TEC ID is the ID of the technology in the AWS technology database to which the machine can be clearly assigned.
When using the ACT-Q tool cost module, this link can be used to determine the tool required for the machine.
Attention: If a tool is usually required, but it is not possible to clearly assign the machine to the technology, a question mark '?' registered!
Examples:
All injection molding machines are assigned the TEC ID 'IM' (Injection molding).
An injection molding tool is added to the list of required tools for each injection molding machine used in the calculation.
No TEC ID is assigned to any of the presses, as no clear assignment is possible (progressive tool, transfer tool, etc.). But since a tool is usually required, a '?' registered.
Accordingly, a line is created for the tool, but the type of tool must be determined manually by the calculator. </t>
  </si>
  <si>
    <t>Fehler behoben: Wiederholtes abgebrochenes Schließen: Nicht sichtbare Arbeitsblätter wurden nicht korrekt wieder eingeblendet</t>
  </si>
  <si>
    <t>Implementierung aller gängigen SI-Untereinheiten (mg, ml, cm² etc.)
Über den Reiter IndirectCosts wird jeder Einheit eine Basiseinheit und ein Faktor zugeordnet und die passende 'Menge je Lagereinheit' berechnet</t>
  </si>
  <si>
    <t>Liste aktualisieren</t>
  </si>
  <si>
    <t>Werkzeugkosten berechnen</t>
  </si>
  <si>
    <t>Update list</t>
  </si>
  <si>
    <t>Calculate tooling costs</t>
  </si>
  <si>
    <t>Als FK umlegen</t>
  </si>
  <si>
    <t>Allocate as
 Mfg. Costs</t>
  </si>
  <si>
    <t>tgbcbCol1</t>
  </si>
  <si>
    <t>tgbcbCol2</t>
  </si>
  <si>
    <t>tgbcbCol3</t>
  </si>
  <si>
    <t>tgbcbCol4</t>
  </si>
  <si>
    <t>tgbcbCol5</t>
  </si>
  <si>
    <t>tgbcbCol6</t>
  </si>
  <si>
    <t>tgbcbCol7</t>
  </si>
  <si>
    <t>tgbcbCol8</t>
  </si>
  <si>
    <t>tgbcbCol9</t>
  </si>
  <si>
    <t>tgbcbCol10</t>
  </si>
  <si>
    <t>mnuToolingCol</t>
  </si>
  <si>
    <t>tgbcbToolingCol1</t>
  </si>
  <si>
    <t>tgbcbToolingCol2</t>
  </si>
  <si>
    <t>tgbcbToolingCol3</t>
  </si>
  <si>
    <t>tgbcbToolingCol4</t>
  </si>
  <si>
    <t>tgbcbToolingCol5</t>
  </si>
  <si>
    <t>Tooling</t>
  </si>
  <si>
    <t>Lifetime</t>
  </si>
  <si>
    <t>Die Standzeit ist die Anzahl an Zyklen, die das Werkzeug genutzt werden kann, bevor es ausgetauscht werden muss.</t>
  </si>
  <si>
    <t>Implementierung ACT-Q Werkzeugkosten: Inhalt</t>
  </si>
  <si>
    <t>Die Anzahl des Bauteils ist hier einzutragen. 
Die Anzahl bezieht sich auf das Vorkommen des Bauteils in einer Einheit der nächsthöheren Baugruppe. Die Gesamtanzahl wird in Spalte N automatisch berechnet.
Beispiel: 
Ein Blech ist 15-mal im ZSB Blechpaket enthalten. Das ZSB Blechpaket ist viermal im ZSB Rotor enthalten. Das ZSB Rotor ist einmal im ZSB Motor enthalten. 
D.h. man benötigt zwar insgesamt (15 x 4 x 1) = 60 Bleche, eingetragen werden hier aber nur die 15, die in einem ZSB Rotor verbaut werden.</t>
  </si>
  <si>
    <t>Herzlich willkommen!</t>
  </si>
  <si>
    <t>Luft</t>
  </si>
  <si>
    <t>See</t>
  </si>
  <si>
    <t>Schiene</t>
  </si>
  <si>
    <t>Straße</t>
  </si>
  <si>
    <t>Der Maschinenstundensatz (MSS) wird automatisch standort- und lieferantenabhängig dem MHR-Reiter entnommen und stellt die Maschinenkosten pro Stunde dar.</t>
  </si>
  <si>
    <t xml:space="preserve"> Here the number of the raw material or purchased part is entered in relation to the unit. 
The tab 'Info' can be used to estimate the required quantity.
Please note: The original weight, i.e. the weight prior to the initial forming, has to be entered here!</t>
  </si>
  <si>
    <r>
      <t xml:space="preserve">Implementierung CO2-Modul
- neue Zeilen: 'Latitude' und 'Longitude': Koordinaten in Dezimalgrad
- neue Zeile: 'Entfernung zum nächsten Hafen' in km
- neue Zeilen CO2-Berechnung
</t>
    </r>
    <r>
      <rPr>
        <sz val="10"/>
        <color rgb="FFFF0000"/>
        <rFont val="Arial Narrow"/>
        <family val="2"/>
        <scheme val="minor"/>
      </rPr>
      <t>Achtung: Lieferanten nicht kompatibel [Version 6.1.1 &lt;-&gt; 6.1.2]</t>
    </r>
  </si>
  <si>
    <r>
      <t xml:space="preserve">Implementierung CO2-Modul
- neue Hilfsspalten
- neue Spalten CO2-Auswertung
</t>
    </r>
    <r>
      <rPr>
        <sz val="10"/>
        <color rgb="FFFF0000"/>
        <rFont val="Arial Narrow"/>
        <family val="2"/>
        <scheme val="minor"/>
      </rPr>
      <t>Achtung: Kalkulationsblöcke und -Zeilen nur kompatibel bis Spalte CR [Version 6.1.1 &lt;-&gt; 6.1.2]</t>
    </r>
  </si>
  <si>
    <t>Auswertung</t>
  </si>
  <si>
    <t>∑ inkl.T-%</t>
  </si>
  <si>
    <t>∑ incl.T-%</t>
  </si>
  <si>
    <t xml:space="preserve"> Machines </t>
  </si>
  <si>
    <t xml:space="preserve"> Maschinen </t>
  </si>
  <si>
    <t xml:space="preserve"> SetUp </t>
  </si>
  <si>
    <t xml:space="preserve"> Rüsten </t>
  </si>
  <si>
    <t xml:space="preserve"> Worker </t>
  </si>
  <si>
    <t xml:space="preserve"> Mitarbeiter </t>
  </si>
  <si>
    <t xml:space="preserve"> Tools &amp; jigs </t>
  </si>
  <si>
    <t xml:space="preserve"> Werkzeuge &amp; Vorrichtungen </t>
  </si>
  <si>
    <t xml:space="preserve"> Wear tools </t>
  </si>
  <si>
    <t xml:space="preserve"> Verschleißwerkzeuge </t>
  </si>
  <si>
    <t xml:space="preserve"> RFGK </t>
  </si>
  <si>
    <t xml:space="preserve"> Mfg. </t>
  </si>
  <si>
    <t xml:space="preserve"> FK </t>
  </si>
  <si>
    <t xml:space="preserve"> Material &amp; Verbrauchsstoffe </t>
  </si>
  <si>
    <t xml:space="preserve"> Scrap Mat. </t>
  </si>
  <si>
    <t xml:space="preserve"> Mat.-Ausschuss </t>
  </si>
  <si>
    <t xml:space="preserve"> Indirect Mat. </t>
  </si>
  <si>
    <t xml:space="preserve"> MGK </t>
  </si>
  <si>
    <t xml:space="preserve"> Mat. </t>
  </si>
  <si>
    <t xml:space="preserve"> MK </t>
  </si>
  <si>
    <t xml:space="preserve"> Prod. </t>
  </si>
  <si>
    <t xml:space="preserve"> HK </t>
  </si>
  <si>
    <t xml:space="preserve"> SG&amp;A </t>
  </si>
  <si>
    <t xml:space="preserve"> VVGK </t>
  </si>
  <si>
    <t xml:space="preserve"> Cost </t>
  </si>
  <si>
    <t xml:space="preserve"> SK </t>
  </si>
  <si>
    <t xml:space="preserve"> Profit </t>
  </si>
  <si>
    <t xml:space="preserve"> Gewinn </t>
  </si>
  <si>
    <t xml:space="preserve"> Other </t>
  </si>
  <si>
    <t xml:space="preserve"> Sonstige </t>
  </si>
  <si>
    <t xml:space="preserve"> Fert.-Ausschuss </t>
  </si>
  <si>
    <t xml:space="preserve"> Scrap Mfg. </t>
  </si>
  <si>
    <t xml:space="preserve"> Indirect Mfg. </t>
  </si>
  <si>
    <t xml:space="preserve"> Material &amp; consumables </t>
  </si>
  <si>
    <t>Wirtschafts-bereich</t>
  </si>
  <si>
    <t>Anpassung Design: Logo, Icon, Schriftart, Farben</t>
  </si>
  <si>
    <t>6.1.5</t>
  </si>
  <si>
    <t>Spalte A einblenden</t>
  </si>
  <si>
    <t>Spalte L einblenden</t>
  </si>
  <si>
    <t>Hier werden die effektiven Arbeitskosten (AK) eines Werkers abhängig von der Lohngruppe (Maschinenbediener oder Facharbeiter) pro Stunde angezeigt. 
Dabei wird eine Verteilzeit gemäß der ausgewählten Premissen (Verfügbarkeit Werker) berücksichtigt.
AK eff. = Stundenlohn / Verfügbarkeit Werker
Achtung: Wird für eine Maschine im MHR-Reiter ein spezifisches Schichtmodell hinterlegt, ändern sich die Arbeitskosten entsprechend!</t>
  </si>
  <si>
    <t>Here the effective labor costs (LC) of a worker depending on the wage group (unskilled or skilled worker) per hour are displayed. 
A distribution time according to the selected premises (Worker utilization) is considered.
LC eff. = Hourly wage / Worker utilization
Please note: If a specific shift model is selected for a machine in the MHR tab, the labor costs will change accordingly!</t>
  </si>
  <si>
    <t>Optional: Das Schichtmodell der Maschine, wenn dieses von dem in den Prämissen festgelegten grundsätzlichen Schichtmodell abweicht.
Achtung: Dies wirkt sich auch auf die Lohnkosten des zugeteilten Personals aus!</t>
  </si>
  <si>
    <t>Optional: The shift model of the machine, if this differs from the basic shift model defined in the premises.
Please note: This also affects the wage costs of the assigned personnel!</t>
  </si>
  <si>
    <t>Wird für eine einzelne Maschine ein anderes Schichtmodell hinterlegt, wird nun auch der Lohn entsprechend angepasst</t>
  </si>
  <si>
    <t>Produktspezifische Maschine</t>
  </si>
  <si>
    <t>ProdSpez</t>
  </si>
  <si>
    <t>Die von der Anzahl der Arbeitstage pro Jahr und dem Schichtmodell abhängige Anzahl an Betriebsstunden pro Jahr.
Stunden pro Jahr = Arbeitstage pro Jahr x Anzahl Schichten x 8 x Auslastung</t>
  </si>
  <si>
    <t>The number of operating hours per year depending on the number of working days per year and the shift model.
Hours per year = working days per year x number of shifts x 8 x Utilisation</t>
  </si>
  <si>
    <t>Optional: Mit 'X' markieren, wenn die Zeile als Spezialbetriebsmittel (bspw. bauteilspezifische Greifer) behandelt werden soll.
Achtung: Der Invest muss in der Kalkulation als Werkzeug eingetragen werden. Die Kosten werden dann entsprechend umgelegt!</t>
  </si>
  <si>
    <t>Optional: Mark with 'X' if the row is to be treated as special equipment (e.g. component-specific gripper).
Attention: The investment must be entered in the calculation as a tool. The costs will then be allocated accordingly!</t>
  </si>
  <si>
    <t>Product-specific machine</t>
  </si>
  <si>
    <t>EndDate</t>
  </si>
  <si>
    <t>maximale Blocklänge</t>
  </si>
  <si>
    <t>V-Werkzeug</t>
  </si>
  <si>
    <t>Cost split</t>
  </si>
  <si>
    <t>Fehler behoben: SG&amp;A auf Material: Es wurde die falsche Zeile im Reiter Premises angezogen</t>
  </si>
  <si>
    <t>Fehler behoben: Diverse Formeln falsch oder unvollständig</t>
  </si>
  <si>
    <t>CO₂-Steuer
[EUR/toCO₂eq]</t>
  </si>
  <si>
    <t>ETS
[EUR/toCO₂eq]</t>
  </si>
  <si>
    <t>CO2-Steuer</t>
  </si>
  <si>
    <t>ETS</t>
  </si>
  <si>
    <t>Optional: Mit 'X' markieren, wenn die Zeile als produktspezifische Maschine behandelt werden soll.
Zur Berechnung des MSS wird in diesem Fall nicht die in einem Jahr zur Verfügung stehenden Stunden (Arbeitstage pro Jahr x Anzahl Schichten x 8 x Auslastung), 
sondern die tatsächlichen Betriebsstunden der Anlage (Kalkulierte Jahresstückzahl x Zykluszeit in h / Teile pro Zyklus) verwendet.
Achtung: Damit die tatsächlichen Betriebsstunden korrekt berechnet werden, darf eine produktspezifische Maschine nur einmal im Reiter 'Calculation' verwendet werden!</t>
  </si>
  <si>
    <t>Optional: Mark with 'X' if the row is to be treated as a product-specific machine.
For the calculation of the MSS in this case not the hours available in a year (working days per year x number of shifts x 8 x utilization), 
but the actual operating hours of the machine (Calculated annual number of parts x cycle time in h / parts per cycle).
Please note: To ensure that the actual operating hours are calculated correctly, a product-specific machine may only be used once in the 'Calculation' tab!</t>
  </si>
  <si>
    <t>btnRefreshOverhead</t>
  </si>
  <si>
    <t>Overheads aktualisieren</t>
  </si>
  <si>
    <t>Aktualisieren</t>
  </si>
  <si>
    <t>Der RFGK-Anteil wird für jede Maschine spezifisch berechnet und der für alle verwendeten Maschinen resultierende prozentuale Anteil als RFGK-Satz für den jeweiligen Lieferanten verwendet.</t>
  </si>
  <si>
    <t>Der MGK-Anteil wird für jedes eingesetzte Material spezifisch berechnet und der für alle eingesetzen Materialien resultierende prozentuale Anteil als MGK-Satz für den jeweiligen Lieferanten verwendet.</t>
  </si>
  <si>
    <t>The indirect material share is calculated specifically for each material and the resulting percentage for all materials used is used as the indirect material rate for the respective supplier.</t>
  </si>
  <si>
    <t>The IMC share is calculated specifically for each machine and the resulting percentage for all machines used is used as the IMC rate for the respective supplier.</t>
  </si>
  <si>
    <t>Machine level</t>
  </si>
  <si>
    <t>Material level</t>
  </si>
  <si>
    <t>Aktualisiert den auf Lieferantenebene berechneten RFGK- und/oder MGK-Satz.
Eine direkte Verlinkung ist nicht möglich, da sonst ein Zirkelbezug entstehen würde.
Diese Aktualisierung erfolgt auch automatisch beim Speichern der Datei.</t>
  </si>
  <si>
    <t>Update overheads</t>
  </si>
  <si>
    <t>Update</t>
  </si>
  <si>
    <t>Updates the indirect manufacturing and/or material rate calculated on supplier level.
A direct linking is not possible, because otherwise a circular reference would be created.
This update is also done automatically when saving the file.</t>
  </si>
  <si>
    <t>btnACT</t>
  </si>
  <si>
    <t>Straße + Schiene</t>
  </si>
  <si>
    <t>Schiene + Straße</t>
  </si>
  <si>
    <t>Air</t>
  </si>
  <si>
    <t>Sea</t>
  </si>
  <si>
    <t>Rail</t>
  </si>
  <si>
    <t>Road</t>
  </si>
  <si>
    <t>Road + Rail</t>
  </si>
  <si>
    <t>Rail + Road</t>
  </si>
  <si>
    <t>Volumengut</t>
  </si>
  <si>
    <t>Massengut</t>
  </si>
  <si>
    <t>High-volume</t>
  </si>
  <si>
    <t>Bulk cargo</t>
  </si>
  <si>
    <t>mnuExport</t>
  </si>
  <si>
    <t>Export</t>
  </si>
  <si>
    <t>Pfad Export Templates</t>
  </si>
  <si>
    <t>\\wts\02 DATA\02 WD\01 Kalkulationstools\01 Teilekosten\01 ACT\Export Templates\</t>
  </si>
  <si>
    <t>Workdays per year</t>
  </si>
  <si>
    <t>Sichtbarkeit Arbeitsblätter (-1 = sichtbar, 0 = ausgeblendet, 2 = komplett ausgeblendet)</t>
  </si>
  <si>
    <t>Labour costs unskilled</t>
  </si>
  <si>
    <t>Labour costs skilled</t>
  </si>
  <si>
    <t>No. of shifts</t>
  </si>
  <si>
    <t>Ind. Mfg. carryover</t>
  </si>
  <si>
    <t>Ind. Mfg. rate</t>
  </si>
  <si>
    <t>Ind. Mat. rate</t>
  </si>
  <si>
    <t>Ind. Mfg. share</t>
  </si>
  <si>
    <t>Ind. Mat. share</t>
  </si>
  <si>
    <t>Distance to the nearest airport</t>
  </si>
  <si>
    <t>Distance to the nearest train station</t>
  </si>
  <si>
    <t>Entfernung zum nächsten Flughafen</t>
  </si>
  <si>
    <t>Entfernung zum nächsten Bahnhof</t>
  </si>
  <si>
    <t>Lieferanten</t>
  </si>
  <si>
    <t>Wert</t>
  </si>
  <si>
    <t>Neben der dynamischen Analyse im Reiter 'Calculation' lassen sich auch individuelle Cost splits anfertigen und auswerten.
In den Spalten B bis C (ggf. ausgeblendet) befindet sich die Datenbasis, auf der die verschiedenen Kostenaufstellungen aufbauen.
Die standardmäßig bereitgestellten Aufstellungen (Cost split 1, 2 und 3) wie auch das Wasserfalldiagramm können beliebig angepasst, ergänzt oder gelöscht werden.
Um im Diagramm einen anderen Cost split anzuzeigen, muss der entsprechende Bereich per [Rechtsklick - Daten auswählen... - Diagrammdatenbereich] ausgewählt werden.
Die Spalte 'Basis' dient als Basis des jeweiligen Eintrags, beschreibt als den Wert des Bereichs unterhalb des Balkens. Die Spalte 'Summe' dient der korrekten Darstellung der Datenbeschriftung pberhalb des kompletten Balkens. Während die Position über die Spalte 'Summe' (Basis + Wert) bestimmt wird, ist der angezeigte Wert der Wert des Eintrags. Dies muss ebenfalls angepasst werden, wenn ein anderer Cost split gewählt wird.
Achtung: Die angezeigten Kosten beziehen sich immer auf den in Zelle 'C2' ausgewählten Lieferanten!</t>
  </si>
  <si>
    <t>In addition to the dynamic analysis in the 'Calculation' tab, individual costsplits can also be created and evaluated.
Columns B to C (may be hidden) contain the dataset on which the various cost statements are based.
The standard cost splits (Cost split 1, 2 and 3) as well as the waterfall diagram can be adapted, extended or deleted as desired.
To display another cost split in the diagram, the corresponding area must be selected by [Right click - Select data... - Diagram data area].
The column 'Base' serves as the base of the respective entry, described as the value of the area below the bar. The 'Sum' column is used to correctly display the data label above the complete bar. While the position is determined by the 'Sum' column (base + value), the value displayed is the value of the entry. This must also be adjusted if another cost split is selected.
Please note: The displayed costs always refer to the supplier selected in range 'C2'!</t>
  </si>
  <si>
    <t>Spalten umbenannt</t>
  </si>
  <si>
    <t>Fehler behoben: Werte wurden falsch berechnet, wenn Ziel nicht Tier 1 war</t>
  </si>
  <si>
    <t>Anpassung: Cluster aus Sicht eines ausgewählten Liferanten (analog Analysis)</t>
  </si>
  <si>
    <t>Anpassung: "Echter" Wasserfall mit schwebender Summe Material</t>
  </si>
  <si>
    <t>Option "Produktspezifische Maschine" hinzugefügt</t>
  </si>
  <si>
    <t>Vorbereitungen Kompatibilität ACT 6.1.5 &amp; Logistik-Modul</t>
  </si>
  <si>
    <t>Hinzufügen Export-Funktion (Export in PowerPoint)</t>
  </si>
  <si>
    <t>Export-Funktion: Export von Prämissen für einen (Single) oder mehrere (Multi) Lieferanten</t>
  </si>
  <si>
    <t>Fehler behoben: Reiter wurden nicht korrekt wieder eingeblendet, wenn die Arbeitsmappe gespeichert und anschließend nochmal gespeichert oder geschlossen wurde, ohne dass das Event After_Save gefeuert hat</t>
  </si>
  <si>
    <t>Palette</t>
  </si>
  <si>
    <t>LKW</t>
  </si>
  <si>
    <t>Personal</t>
  </si>
  <si>
    <t>MethodeAmZiel</t>
  </si>
  <si>
    <t>MethodeAmStart</t>
  </si>
  <si>
    <t>Methode</t>
  </si>
  <si>
    <t>ZielBahnhof</t>
  </si>
  <si>
    <t>ZielFlughafen</t>
  </si>
  <si>
    <t>ZielHafen</t>
  </si>
  <si>
    <t>ZielLong</t>
  </si>
  <si>
    <t>ZielLat</t>
  </si>
  <si>
    <t>Ziel</t>
  </si>
  <si>
    <t>StartBahnhof</t>
  </si>
  <si>
    <t>StartFlughafen</t>
  </si>
  <si>
    <t>StartHafen</t>
  </si>
  <si>
    <t>StartLong</t>
  </si>
  <si>
    <t>StartLat</t>
  </si>
  <si>
    <t>Start</t>
  </si>
  <si>
    <t>Total-€</t>
  </si>
  <si>
    <t>Zoll-€</t>
  </si>
  <si>
    <t>Transport-€</t>
  </si>
  <si>
    <t>Verpackung-€</t>
  </si>
  <si>
    <t>LTjeC</t>
  </si>
  <si>
    <t>Container</t>
  </si>
  <si>
    <t>LTjeLKW</t>
  </si>
  <si>
    <t>LT</t>
  </si>
  <si>
    <t>Geometrie</t>
  </si>
  <si>
    <t>Distanz in km</t>
  </si>
  <si>
    <t>Herkunft Personal</t>
  </si>
  <si>
    <t>ohne</t>
  </si>
  <si>
    <t>Ladungsträger</t>
  </si>
  <si>
    <t>Umverpackung</t>
  </si>
  <si>
    <t>BoxJeLT</t>
  </si>
  <si>
    <t>BTjeBox</t>
  </si>
  <si>
    <t>Indivudualverpackung</t>
  </si>
  <si>
    <t>$B$2</t>
  </si>
  <si>
    <t>Bauteile je Umverpackung</t>
  </si>
  <si>
    <t>Umverpackungen je Ladungsträger</t>
  </si>
  <si>
    <t>Fahrzeug</t>
  </si>
  <si>
    <t>Ladungsträger je Fahrzeug</t>
  </si>
  <si>
    <t>Ladungsträger je Container</t>
  </si>
  <si>
    <t>Verpackungskosten</t>
  </si>
  <si>
    <t>Transportkosten</t>
  </si>
  <si>
    <t>Zollkosten</t>
  </si>
  <si>
    <t>Logistikkosten</t>
  </si>
  <si>
    <t>Latitude in Dezimalgrad</t>
  </si>
  <si>
    <t>Longitude in Dezimalgrad</t>
  </si>
  <si>
    <t>Transportmethode</t>
  </si>
  <si>
    <t>Transportmethode am Start</t>
  </si>
  <si>
    <t>Transportmethode am Ziel</t>
  </si>
  <si>
    <t>SchieneAmZiel</t>
  </si>
  <si>
    <t>StraßeAmZiel</t>
  </si>
  <si>
    <t>StraßeAmStart</t>
  </si>
  <si>
    <t>SchieneAmStart</t>
  </si>
  <si>
    <t>Der Längengrad der Zielkoordinaten in Dezimalgrad.
Standardmäßig sind dies die in den Prämissen für den Lieferanten hinterlegten Koordinaten.
Achtung: Beim Transport per Schiene oder per Luft sind hier die Koordinaten des Bahnhofs bzw. des Flughafens am Ziel einzutragen!</t>
  </si>
  <si>
    <t>Der Breitengrad der Zielkoordinaten in Dezimalgrad.
Standardmäßig sind dies die in den Prämissen für den Lieferanten hinterlegten Koordinaten.
Achtung: Beim Transport per Schiene oder per Luft sind hier die Koordinaten des Bahnhofs bzw. des Flughafens am Ziel einzutragen!</t>
  </si>
  <si>
    <t>Die ID des Lieferanten (siehe Prämissen) am Ende des Transportweges.</t>
  </si>
  <si>
    <t>Die ID des Lieferanten (siehe Prämissen) am Anfang des Transportweges.</t>
  </si>
  <si>
    <t>Der Breitengrad der Zielkoordinaten in Dezimalgrad.
Standardmäßig sind dies die in den Prämissen für den Lieferanten hinterlegten Koordinaten.
Achtung: Beim Transport per Schiene oder per Luft sind hier die Koordinaten des Bahnhofs bzw. des Flughafens am Start einzutragen!</t>
  </si>
  <si>
    <t>Der Längengrad der Zielkoordinaten in Dezimalgrad.
Standardmäßig sind dies die in den Prämissen für den Lieferanten hinterlegten Koordinaten.
Achtung: Beim Transport per Schiene oder per Luft sind hier die Koordinaten des Bahnhofs bzw. des Flughafens am Start einzutragen!</t>
  </si>
  <si>
    <t>Destination</t>
  </si>
  <si>
    <t>Die Art des Transports vom Lieferanten zum Start, wenn der Start nicht das Werksgelände des Lieferanten ist, also zum Hafen, Flughafen oder Bahnhof.
Findet beim Transport per Straße keine Anwendung. Beim Transport per Schiene findet der Transport zum Start (also zum Bahnhof) automatische per Straße statt.</t>
  </si>
  <si>
    <t>Die Distanz in km vom Ziel (Hafen, Flughafen oder Bahnhof) zum Lieferanten, die per Straße zurückgelegt wird.</t>
  </si>
  <si>
    <t>Das Land, dessen Lohnkosten für den Transport angezogen werden.
Standardmäßig ist der Standort des Lieferanten ausgewählt, bei dem der Transport startet.
Achtung: Für Transporte am Start und am Ziel (Wege zum und vom Hafen, Flughafen oder Bahnhof) werden immer die Lohnkosten vor Ort angezogen!</t>
  </si>
  <si>
    <t>Die hauptsächliche* Art des Transports vom Start zum Ziel.
*beim Transport per Luft oder auf dem Seeweg werden zusätzlich die Strecken vom und zum Flughafen bzw. Hafen per Straße (oder Straße und Schiene) berücksichtigt ([siehe Transportmethode am Start bzw. am Ziel].</t>
  </si>
  <si>
    <t>Distanz am Start in km</t>
  </si>
  <si>
    <t>Distanz am Ziel in km</t>
  </si>
  <si>
    <t>Die Kalkulation der Logistikkosten gliedert sich in zwei Bereiche:
Zum einen sind die Transportwege zwischen den beteiligten Lieferanten zu beschreiben (Tabelle rechts).
Zum anderen sind die auf diesen Wegen transportierten "Pakete" zu beschreiben (Tabelle links).</t>
  </si>
  <si>
    <t>Pallet</t>
  </si>
  <si>
    <t>Die Distanz in km vom Ziel (Hafen oder Flughafen) zum Lieferanten, die per Schiene zurückgelegt wird.
Achtung: Die Distanz muss manuell (per Google Maps etc.) ermittelt und eingetragen werden!</t>
  </si>
  <si>
    <t>Die Distanz in km vom Start zum Ziel, die per Straße zurückgelegt wird.
Start ist dabei das Werksgelände des abgebenden Lieferanten, Ziel ist das Werksgelände des aufnehmenden Lieferanten.
Optional: Die Entfernung kann bei Bedarf auch manuell (per Google Maps etc.) ermittelt und überschrieben werden.</t>
  </si>
  <si>
    <t>Die Entfernung in km vom Lieferanten zum (nächstgelegenen) Flughafen.
Diese wird aus den Prämissen übernommen und entspricht standardmäßig der weltweiten durchschnittliche Entfernung zum nächsten Flughafen.
Achtung: Wenn der Transport per Luft stattfindet, muss diese Entfernung manuell (per Google Maps etc.) ermittelt und hier eingetragen werden!</t>
  </si>
  <si>
    <t>Die Entfernung in km vom Lieferanten zum (nächstgelegenen) Bahnhof.
Diese wird aus den Prämissen übernommen und entspricht standardmäßig der weltweiten durchschnittliche Entfernung zum nächsten Bahnhof.
Achtung: Wenn der Transport per Schiene stattfindet, muss diese Entfernung manuell (per Google Maps etc.) ermittelt und hier eingetragen werden!</t>
  </si>
  <si>
    <t>Die Entfernung in km vom Lieferanten zum (nächstgelegenen) Hafen.
Diese wird aus den Prämissen übernommen und entspricht standardmäßig der hinterlegten durchschnittliche Entfernung zum nächsten Hafen innerhalb des Landes, das dem Lieferanten zugeordnet ist.
Achtung: Wenn der Transport per Seefracht stattfindet, muss diese Entfernung manuell (per Google Maps etc.) ermittelt und hier eingetragen werden!</t>
  </si>
  <si>
    <t>Die Art des Transports vom Ziel zum Lieferanten, wenn der Ziel nicht das Werksgelände des Lieferanten ist, also vom Hafen, Flughafen oder Bahnhof.
Findet beim Transport per Straße keine Anwendung. Beim Transport per Schiene findet der Transport vom Ziel (also vom Bahnhof) automatische per Straße statt.</t>
  </si>
  <si>
    <t>Die Distanz in km vom Lieferanten zum Start (Hafen, Flughafen oder Bahnhof), die per Straße zurückgelegt wird.</t>
  </si>
  <si>
    <t>Die Distanz in km vom Lieferanten zum Start (Hafen oder Flughafen), die per Schiene zurückgelegt wird.
Achtung: Die Distanz muss manuell (per Google Maps etc.) ermittelt und eingetragen werden!</t>
  </si>
  <si>
    <t>Die Distanz in km vom Start zum Ziel, die in auf dem Seeweg zurückgelegt wird.
Start ist dabei der dem abgebenden Lieferanten zugeordnete (nächstgelegene) Seehafen, Ziel ist der dem aufnehmenden Lieferanten zugeordnete (nächstgelegene) Seehafen.
Achtung: Für den Seeweg muss die Distanz manuell ermittelt und eingetragen werden (siehe searates.com/services/distances-time/)!</t>
  </si>
  <si>
    <t>Die Distanz in km vom Start zum Ziel, die in der Luft zurückgelegt wird.
Start ist dabei der dem abgebenden Lieferanten zugeordnete (nächstgelegene) Flughafen, Ziel ist der dem aufnehmenden Lieferanten zugeordnete (nächstgelegene) Flughafen.
Optional: Die Entfernung kann bei Bedarf auch manuell (per Google Maps etc.) ermittelt und überschrieben werden.</t>
  </si>
  <si>
    <t>Die Distanz in km vom Start zum Ziel, die per Schiene zurückgelegt wird.
Start ist dabei der dem abgebenden Lieferanten zugeordnete (nächstgelegene) Bahnhof, Ziel ist der dem aufnehmenden Lieferanten zugeordnete (nächstgelegene) Bahnhof.
Optional: Die Entfernung kann bei Bedarf auch manuell (per Google Maps etc.) ermittelt und überschrieben werden.</t>
  </si>
  <si>
    <t>Spalte1</t>
  </si>
  <si>
    <t>Tier P</t>
  </si>
  <si>
    <t>Tier 2</t>
  </si>
  <si>
    <t>Tier 1</t>
  </si>
  <si>
    <t>Auss.</t>
  </si>
  <si>
    <t>MGK2</t>
  </si>
  <si>
    <t>VVGK3</t>
  </si>
  <si>
    <t>Gewinn4</t>
  </si>
  <si>
    <t>Sonstige5</t>
  </si>
  <si>
    <t>Preis6</t>
  </si>
  <si>
    <t>Auss.7</t>
  </si>
  <si>
    <t>MGK8</t>
  </si>
  <si>
    <t>VVGK9</t>
  </si>
  <si>
    <t>Gewinn10</t>
  </si>
  <si>
    <t>Sonstige11</t>
  </si>
  <si>
    <t>Preis12</t>
  </si>
  <si>
    <t>D. Mat</t>
  </si>
  <si>
    <t>Neues Speichern: Der Dateiname bleibt eindeutig und es wird weder Datum (2021XXXX) noch  Version (Vxx) angehängt. Stattdessen wird automatisch bei jedem Speichern ein lokales Backup (im Ordner %Temp%\AWS\) erstellt, auf das 28 Tage lang zurückgegriffen werden kann. Zusätzlich wird automatisch für jeden Tag, an dem Änderungen vorgenommen wurden, eine dauerhafte Kopie auf dem Server (im Ordner \Archiv\) abgelegt.</t>
  </si>
  <si>
    <t>Anpassung: Cluster aus Sicht eines ausgewählten Liferanten (analog Analysis) ODER als Tier-Übersicht über alle Bauteile</t>
  </si>
  <si>
    <t>6.1.6</t>
  </si>
  <si>
    <t>Erweiterte Auswertung: Hinzufügen von Spalten für detailierte Tier 2 und Tier 1 Zuschläge</t>
  </si>
  <si>
    <t>SG&amp;A Mt</t>
  </si>
  <si>
    <t>Scrap</t>
  </si>
  <si>
    <t>Ausschuss Personal</t>
  </si>
  <si>
    <t>Scrap personnel</t>
  </si>
  <si>
    <t>Scp Mfg.</t>
  </si>
  <si>
    <t>Scp Mat.</t>
  </si>
  <si>
    <t>D Mat.</t>
  </si>
  <si>
    <t>Die in der Kalkulation aufgeführten Kosten lassen sich zeilen- oder blockweise innerhalb von Clustern in verschiedene Gruppen unterteilen.
Es stehen drei Cluster zur Verfügung, die in beliebig viele Gruppen unterteilt werden können. Kosten können mehreren Clustern zugeordnet werden (bspw. der Gruppe Spritzguss im Cluster Produktion und der Gruppe Kunststoffe im Cluster Material), können innerhalb eines Clusters aber immer nur einer Gruppe angehören.
Die Gruppen werden im Reiter 'Cluster' angelegt und die Kosten im Reiter 'Calculation' der entsprechenden Gruppe zugeordnet. Über das Menü [ACT - Kalkulation - Spalten - Cluster] lassen sich die Cluster-Spalten im Reiter 'Calculation' einblenden.
Über die Zelle 'B3' lässt sich steuern, wie KOsten dargestellt werden. Standardmäßig (die Zelle ist leer) werden Kosten über die komplette Kalkulation als Tier-Struktur dargestellt. 
Wird in ein Lieferant ausgewählt, stellen sich die Kosten aus Sicht dieses Lieferanten dar.</t>
  </si>
  <si>
    <t>The costs listed in the cost estimate can be subdivided into different groups line by line or block by block within clusters.
Three clusters are available, which can be divided into any number of groups. Costs can be assigned to several clusters (e.g. to the injection molding group in the production cluster and to the plastics group in the material cluster), but can only belong to one group within a cluster.
The groups are created in the 'Cluster' tab and the costs are assigned to the corresponding group in the 'Calculation' tab. The cluster columns can be displayed in the 'Calculation' tab via the [ACT - Calculation - Columns - Cluster] menu.
The cell 'B3' can be used to control how costs are displayed. By default (the cell is empty), costs are displayed as a tier structure over the entire calculation. 
If a supplier is selected, the costs will be displayed from the supplier's point of view.</t>
  </si>
  <si>
    <t>btnNumAlt</t>
  </si>
  <si>
    <t>btnRepaint</t>
  </si>
  <si>
    <t>BomRepaint</t>
  </si>
  <si>
    <t>Format erneuern</t>
  </si>
  <si>
    <t>Rebuild format</t>
  </si>
  <si>
    <t>Formatiert sämtliche BOM-Zeilen entsprechend ihrer jeweiligen Strukturstufe neu.</t>
  </si>
  <si>
    <t>Reformats all BOM rows according to their respective structure level.</t>
  </si>
  <si>
    <t>Nummerierung generieren</t>
  </si>
  <si>
    <t>Generate Numbering</t>
  </si>
  <si>
    <t>Export to PowerPoint …</t>
  </si>
  <si>
    <t>Export to CBD …</t>
  </si>
  <si>
    <t>ExportToPowerPointInit</t>
  </si>
  <si>
    <t>Nach PowerPoint exportieren …</t>
  </si>
  <si>
    <t>btnExportToPowerPoint</t>
  </si>
  <si>
    <t>In CBD exportieren …</t>
  </si>
  <si>
    <t>btnOpenLabelmaker</t>
  </si>
  <si>
    <t>Open Labelmaker</t>
  </si>
  <si>
    <t>Labelmaker öffnen</t>
  </si>
  <si>
    <t>2-1</t>
  </si>
  <si>
    <t>3-1</t>
  </si>
  <si>
    <t>Supply chain</t>
  </si>
  <si>
    <t>OpenLabelmaker</t>
  </si>
  <si>
    <t>Anpassung Sync: Zunächst wird nur das Layout aufgebaut und die Formeln im Anschluss in ein Array geschrieben und über dieses eingefügt -&gt; deutliche Verkürzung der Ladezeiten</t>
  </si>
  <si>
    <t>Edit Mode: Die Formeln in den Auswertespalten werden beim Aktivieren des Edit Modes komplett gelöscht und beim Deaktivieren wieder eingefügt -&gt; Erhöhung der Reaktionszeit bei großen Datenmengen</t>
  </si>
  <si>
    <t>Export: Verlinkung des Labelmakers</t>
  </si>
  <si>
    <t>6.1.7</t>
  </si>
  <si>
    <t>Entsprechende Anpassungen der Functions AddCalcRow, AddCalcBlock etc.</t>
  </si>
  <si>
    <t>Cluster 1</t>
  </si>
  <si>
    <t>Cluster 2</t>
  </si>
  <si>
    <t>RFGK in %</t>
  </si>
  <si>
    <t>AgCO2eq/kWh</t>
  </si>
  <si>
    <t>BgCO2eq/kWh</t>
  </si>
  <si>
    <t>CgCO2eq/kWh</t>
  </si>
  <si>
    <t>DgCO2eq/kWh</t>
  </si>
  <si>
    <t>EgCO2eq/kWh</t>
  </si>
  <si>
    <t>FgCO2eq/kWh</t>
  </si>
  <si>
    <t>GgCO2eq/kWh</t>
  </si>
  <si>
    <t>HgCO2eq/kWh</t>
  </si>
  <si>
    <t>IgCO2eq/kWh</t>
  </si>
  <si>
    <t>JgCO2eq/kWh</t>
  </si>
  <si>
    <t>Diesel</t>
  </si>
  <si>
    <t>ja</t>
  </si>
  <si>
    <t>nein</t>
  </si>
  <si>
    <t>yes</t>
  </si>
  <si>
    <t>no</t>
  </si>
  <si>
    <t>Dieselpreis</t>
  </si>
  <si>
    <t>none</t>
  </si>
  <si>
    <t>Tab_ASY_TableRegister</t>
  </si>
  <si>
    <t>Name</t>
  </si>
  <si>
    <t>Aufnehmen und Platzieren (A)</t>
  </si>
  <si>
    <t>Pick and place (A)</t>
  </si>
  <si>
    <t>ASY_PickandPlace_1</t>
  </si>
  <si>
    <t>Entfernung &lt;20cm (A)</t>
  </si>
  <si>
    <t>Distance &lt;20cm (A)</t>
  </si>
  <si>
    <t>ASY_PickandPlace_2</t>
  </si>
  <si>
    <t>Entfernung 20-50cm (A)</t>
  </si>
  <si>
    <t>Distance 20-50cm (A)</t>
  </si>
  <si>
    <t>ASY_PickandPlace_3</t>
  </si>
  <si>
    <t>Entfernung 50-80cm (A)</t>
  </si>
  <si>
    <t>Distance &lt;50-80cm (A)</t>
  </si>
  <si>
    <t>ASY_PickandPlace_4</t>
  </si>
  <si>
    <t>Schraubarbeiten (M-S)</t>
  </si>
  <si>
    <t>Screwing (M-S)</t>
  </si>
  <si>
    <t>ASY_Screwing_1</t>
  </si>
  <si>
    <t>von Hand (M-S)</t>
  </si>
  <si>
    <t>by hand (M-S)</t>
  </si>
  <si>
    <t>ASY_Screwing_2</t>
  </si>
  <si>
    <t>Metrische Schrauben M2,4-M14 (M-S)</t>
  </si>
  <si>
    <t>Metric screws M2,4-M14 (M-S)</t>
  </si>
  <si>
    <t>ASY_Screwing_3</t>
  </si>
  <si>
    <t>Blechschrauben bis 6mm (M-S)</t>
  </si>
  <si>
    <t>Sheet metal screws up to 6mm (M-S)</t>
  </si>
  <si>
    <t>ASY_Screwing_4</t>
  </si>
  <si>
    <t>Platzieren (P)</t>
  </si>
  <si>
    <t>Placing (P)</t>
  </si>
  <si>
    <t>ASY_Place_1</t>
  </si>
  <si>
    <t>Entfernung &lt;20cm (P)</t>
  </si>
  <si>
    <t>Distance &lt;20cm (P)</t>
  </si>
  <si>
    <t>ASY_Place_2</t>
  </si>
  <si>
    <t>Entfernung 20-50cm (P)</t>
  </si>
  <si>
    <t>Distance 20-50cm (P)</t>
  </si>
  <si>
    <t>ASY_Place_3</t>
  </si>
  <si>
    <t>Entfernung 50-80cm (P)</t>
  </si>
  <si>
    <t>Distance &lt;50-80cm (P)</t>
  </si>
  <si>
    <t>ASY_Place_4</t>
  </si>
  <si>
    <t>Hilfsmittel handhaben (H)</t>
  </si>
  <si>
    <t>Handling tools (H)</t>
  </si>
  <si>
    <t>ASY_HandlingTools_1</t>
  </si>
  <si>
    <t>Entfernung &lt;20cm (H)</t>
  </si>
  <si>
    <t>Distance &lt;20cm (H)</t>
  </si>
  <si>
    <t>ASY_HandlingTools_2</t>
  </si>
  <si>
    <t>Entfernung 20-50cm (H)</t>
  </si>
  <si>
    <t>Distance 20-50cm (H)</t>
  </si>
  <si>
    <t>ASY_HandlingTools_3</t>
  </si>
  <si>
    <t>Entfernung 50-80cm (H)</t>
  </si>
  <si>
    <t>Distance &lt;50-80cm (H)</t>
  </si>
  <si>
    <t>ASY_HandlingTools_4</t>
  </si>
  <si>
    <t>Betätigen (B)</t>
  </si>
  <si>
    <t>Operate (B)</t>
  </si>
  <si>
    <t>ASY_Operate_1</t>
  </si>
  <si>
    <t>Entfernung &lt;20cm (B)</t>
  </si>
  <si>
    <t>Distance &lt;20cm (B)</t>
  </si>
  <si>
    <t>ASY_Operate_2</t>
  </si>
  <si>
    <t>Entfernung 20-50cm (B)</t>
  </si>
  <si>
    <t>Distance 20-50cm (B)</t>
  </si>
  <si>
    <t>ASY_Operate_3</t>
  </si>
  <si>
    <t>Entfernung 50-80cm (B)</t>
  </si>
  <si>
    <t>Distance &lt;50-80cm (B)</t>
  </si>
  <si>
    <t>ASY_Operate_4</t>
  </si>
  <si>
    <t>Bewegungszyklen (Z)</t>
  </si>
  <si>
    <t>Motion cylces (Z)</t>
  </si>
  <si>
    <t>ASY_MotionCycles_1</t>
  </si>
  <si>
    <t>Entfernung &lt;20cm (Z)</t>
  </si>
  <si>
    <t>Distance &lt;20cm (Z)</t>
  </si>
  <si>
    <t>ASY_MotionCycles_2</t>
  </si>
  <si>
    <t>Entfernung 20-50cm (Z)</t>
  </si>
  <si>
    <t>Distance 20-50cm (Z)</t>
  </si>
  <si>
    <t>ASY_MotionCycles_3</t>
  </si>
  <si>
    <t>Entfernung 50-80cm (Z)</t>
  </si>
  <si>
    <t>Distance &lt;50-80cm (Z)</t>
  </si>
  <si>
    <t>ASY_MotionCycles_4</t>
  </si>
  <si>
    <t>Körperbewegungen (K)</t>
  </si>
  <si>
    <t>Body motions (K)</t>
  </si>
  <si>
    <t>ASY_BodyMotion</t>
  </si>
  <si>
    <t>Visuelle Kontrolle (VA)</t>
  </si>
  <si>
    <t>Visual check (VA)</t>
  </si>
  <si>
    <t>ASY_VisualCheck</t>
  </si>
  <si>
    <t>Prüfen oder Messen (M-P)</t>
  </si>
  <si>
    <t>Checking or measuring (M-P)</t>
  </si>
  <si>
    <t>ASY_CheckingMeasuring_1</t>
  </si>
  <si>
    <t>Lehren (M-P)</t>
  </si>
  <si>
    <t>Gages (M-P)</t>
  </si>
  <si>
    <t>ASY_CheckingMeasuring_2</t>
  </si>
  <si>
    <t>Zeigermessgerät (M-P)</t>
  </si>
  <si>
    <t>Pointer gauge (M-P)</t>
  </si>
  <si>
    <t>ASY_CheckingMeasuring_3</t>
  </si>
  <si>
    <t>Skalenmessgerät (M-P)</t>
  </si>
  <si>
    <t>Scale measuring device (M-P)</t>
  </si>
  <si>
    <t>ASY_CheckingMeasuring_4</t>
  </si>
  <si>
    <t>Bereich einstellen (M-P)</t>
  </si>
  <si>
    <t>Set range (M-P)</t>
  </si>
  <si>
    <t>ASY_CheckingMeasuring_5</t>
  </si>
  <si>
    <t>Markieren (M-M)</t>
  </si>
  <si>
    <t>Marking (M-M)</t>
  </si>
  <si>
    <t>ASY_Marking</t>
  </si>
  <si>
    <t>Behandeln (B-RB)</t>
  </si>
  <si>
    <t>Treatment (B-RB)</t>
  </si>
  <si>
    <t>ASY_Treatment_1</t>
  </si>
  <si>
    <t>Reinigen (B-RB)</t>
  </si>
  <si>
    <t>Cleaning (B-RB)</t>
  </si>
  <si>
    <t>ASY_Treatment_2</t>
  </si>
  <si>
    <t>Auftragen Öl, Farbe, Reinigungsmittel (B-RB)</t>
  </si>
  <si>
    <t>Application of oil, paint, cleaning agent (B-RB)</t>
  </si>
  <si>
    <t>ASY_Treatment_3</t>
  </si>
  <si>
    <t>Auftragen Klebstoff, Dichtmasse (B-RB)</t>
  </si>
  <si>
    <t>Apply adhesive, sealant (B-RB)</t>
  </si>
  <si>
    <t>ASY_Treatment_4</t>
  </si>
  <si>
    <t>Zuschlag (B-RB)</t>
  </si>
  <si>
    <t>Additive (B-RB)</t>
  </si>
  <si>
    <t>ASY_Treatment_5</t>
  </si>
  <si>
    <t>Festspannen und Lösen (M-F)</t>
  </si>
  <si>
    <t>Tightening and loosening (M-F)</t>
  </si>
  <si>
    <t>ASY_TighteningLoosening_1</t>
  </si>
  <si>
    <t>Transportable Spannmittel (M-F)</t>
  </si>
  <si>
    <t>Transportable clamping devices (M-F)</t>
  </si>
  <si>
    <t>ASY_TighteningLoosening_2</t>
  </si>
  <si>
    <t>Stationäre Spannmittel (M-F)</t>
  </si>
  <si>
    <t>Stationary clamping devices (M-F)</t>
  </si>
  <si>
    <t>ASY_TighteningLoosening_3</t>
  </si>
  <si>
    <t>Auspacken (M-A)</t>
  </si>
  <si>
    <t>Unpacking (M-A)</t>
  </si>
  <si>
    <t>ASY_Unpacking_1</t>
  </si>
  <si>
    <t>Abdeckung entfernen/öffnen</t>
  </si>
  <si>
    <t>Remove/open cover</t>
  </si>
  <si>
    <t>ASY_Unpacking_2</t>
  </si>
  <si>
    <t>Inhalt entnehmen &lt;8kg</t>
  </si>
  <si>
    <t>Remove contents &lt;8kg</t>
  </si>
  <si>
    <t>ASY_Unpacking_3</t>
  </si>
  <si>
    <t>Klebearbeiten (M-K)</t>
  </si>
  <si>
    <t>Adhesive application (M-K)</t>
  </si>
  <si>
    <t>ASY_AdhesiveApplication_1</t>
  </si>
  <si>
    <t>Schild oder Aufkleber (M-K)</t>
  </si>
  <si>
    <t>Sign or sticker (M-K)</t>
  </si>
  <si>
    <t>ASY_AdhesiveApplication_2</t>
  </si>
  <si>
    <t>Dämmmatte (M-K)</t>
  </si>
  <si>
    <t>Insulation mat (M-K)</t>
  </si>
  <si>
    <t>ASY_AdhesiveApplication_3</t>
  </si>
  <si>
    <t>Klebeband (M-K)</t>
  </si>
  <si>
    <t>Adhesive tape (M-K)</t>
  </si>
  <si>
    <t>ASY_AdhesiveApplication_4</t>
  </si>
  <si>
    <t>Normteile montieren (M-B)</t>
  </si>
  <si>
    <t>Assemble standard parts (M-B)</t>
  </si>
  <si>
    <t>ASY_AssembleStandardParts</t>
  </si>
  <si>
    <t>Tab_ASY_Operations</t>
  </si>
  <si>
    <t>Motion cycles (Z)</t>
  </si>
  <si>
    <t>Assembling standard parts (M-B)</t>
  </si>
  <si>
    <t>Tab_ASY_PickandPlace_1</t>
  </si>
  <si>
    <t>Tab_ASY_PickandPlace_2</t>
  </si>
  <si>
    <t>Entfernung &lt;20cm</t>
  </si>
  <si>
    <t>Gewicht &lt;1kg, ungefähr platzieren</t>
  </si>
  <si>
    <t>Weight &lt;1kg, rough positioning</t>
  </si>
  <si>
    <t>Gewicht &lt;1kg, lose platzieren</t>
  </si>
  <si>
    <t>Weight &lt;1kg, loose positioning</t>
  </si>
  <si>
    <t>Gewicht &lt;1kg, eng platzieren</t>
  </si>
  <si>
    <t>Weight &lt;1kg, tight positioning</t>
  </si>
  <si>
    <t>Gewicht &lt;1kg, Hand voll platzieren</t>
  </si>
  <si>
    <t>Weight &lt;1kg, a fistful rough positioning</t>
  </si>
  <si>
    <t>Gewicht 1-8kg, ungefähr platzieren</t>
  </si>
  <si>
    <t>Weight 1-8kg, rough positioning</t>
  </si>
  <si>
    <t>Gewicht 1-8kg, lose platzieren</t>
  </si>
  <si>
    <t>Weight 1-8kg, loose positioning</t>
  </si>
  <si>
    <t>Gewicht 1-8kg, eng platzieren</t>
  </si>
  <si>
    <t>Weight 1-8kg, tight positioning</t>
  </si>
  <si>
    <t>Gewicht 8-22kg, ungefähr platzieren</t>
  </si>
  <si>
    <t>Weight 8-22kg, rough positioning</t>
  </si>
  <si>
    <t>Gewicht 8-22kg, lose platzieren</t>
  </si>
  <si>
    <t>Weight 8-22kg, loose positioning</t>
  </si>
  <si>
    <t>Gewicht 8-22kg, eng platzieren</t>
  </si>
  <si>
    <t>Weight 8-22kg, tight positioning</t>
  </si>
  <si>
    <t>Tab_ASY_PickandPlace_3</t>
  </si>
  <si>
    <t>Entfernung 20-50cm</t>
  </si>
  <si>
    <t>Tab_ASY_PickandPlace_4</t>
  </si>
  <si>
    <t>Entfernung 50-80cm</t>
  </si>
  <si>
    <t>AK3</t>
  </si>
  <si>
    <t>AN3</t>
  </si>
  <si>
    <t>Tab_ASY_Screwing_1</t>
  </si>
  <si>
    <t>Tab_ASY_Screwing_2</t>
  </si>
  <si>
    <t>von Hand</t>
  </si>
  <si>
    <t>Stecken und Gang suchen (eine Hand)</t>
  </si>
  <si>
    <t>Stick and search gear (one hand)</t>
  </si>
  <si>
    <t>Stecken und Gang suchen (zwei Hände)</t>
  </si>
  <si>
    <t>Stick and search gear (two hands)</t>
  </si>
  <si>
    <t>Stecken und eindrehen (eine Hand)</t>
  </si>
  <si>
    <t>Insert and turn (one hand)</t>
  </si>
  <si>
    <t>Stecken und eindrehen (zwei Hände)</t>
  </si>
  <si>
    <t>Insert and turn (two hands)</t>
  </si>
  <si>
    <t>Tab_ASY_Screwing_3</t>
  </si>
  <si>
    <t>Metrische Schrauben (M2,4-M14)</t>
  </si>
  <si>
    <t>Maschinenschrauber</t>
  </si>
  <si>
    <t>Machine screwdriver</t>
  </si>
  <si>
    <t>Drillschrauber</t>
  </si>
  <si>
    <t>Drill screwdriver</t>
  </si>
  <si>
    <t>Schraubendreher</t>
  </si>
  <si>
    <t>Screwdriver</t>
  </si>
  <si>
    <t>Ratsche</t>
  </si>
  <si>
    <t>Ratchet</t>
  </si>
  <si>
    <t>Gabelschlüssel</t>
  </si>
  <si>
    <t>Open-end wrench</t>
  </si>
  <si>
    <t>Tab_ASY_Screwing_4</t>
  </si>
  <si>
    <t>Blechschrauben (bis 6mm)</t>
  </si>
  <si>
    <t>Tab_ASY_Place_1</t>
  </si>
  <si>
    <t>Tab_ASY_Place_2</t>
  </si>
  <si>
    <t>ungefähr</t>
  </si>
  <si>
    <t>approximately</t>
  </si>
  <si>
    <t>lose</t>
  </si>
  <si>
    <t>loose</t>
  </si>
  <si>
    <t>eng</t>
  </si>
  <si>
    <t>tight</t>
  </si>
  <si>
    <t>Tab_ASY_Place_3</t>
  </si>
  <si>
    <t>Tab_ASY_Place_4</t>
  </si>
  <si>
    <t>PA3</t>
  </si>
  <si>
    <t>Tab_ASY_HandlingTools_1</t>
  </si>
  <si>
    <t>Tab_ASY_HandlingTools_2</t>
  </si>
  <si>
    <t>Tab_ASY_HandlingTools_3</t>
  </si>
  <si>
    <t>Tab_ASY_HandlingTools_4</t>
  </si>
  <si>
    <t>Tab_ASY_Operate_1</t>
  </si>
  <si>
    <t>Tab_ASY_Operate_2</t>
  </si>
  <si>
    <t>einfach</t>
  </si>
  <si>
    <t>simply</t>
  </si>
  <si>
    <t>zusammengesetzt</t>
  </si>
  <si>
    <t>composite</t>
  </si>
  <si>
    <t>Tab_ASY_Operate_3</t>
  </si>
  <si>
    <t>Tab_ASY_Operate_4</t>
  </si>
  <si>
    <t>Tab_ASY_MotionCycles_1</t>
  </si>
  <si>
    <t>Tab_ASY_MotionCycles_2</t>
  </si>
  <si>
    <t>eine Bewegung</t>
  </si>
  <si>
    <t>one movement</t>
  </si>
  <si>
    <t>Bewegungsfolge</t>
  </si>
  <si>
    <t>Movement sequence</t>
  </si>
  <si>
    <t>Umsetzen und eine Bewegung</t>
  </si>
  <si>
    <t>Repositioning and one movement</t>
  </si>
  <si>
    <t>Festmachen oder Lösen</t>
  </si>
  <si>
    <t>Tighten or loosen</t>
  </si>
  <si>
    <t>Tab_ASY_MotionCycles_3</t>
  </si>
  <si>
    <t>Tab_ASY_MotionCycles_4</t>
  </si>
  <si>
    <t>Tab_ASY_BodyMotion</t>
  </si>
  <si>
    <t>Gehen /m</t>
  </si>
  <si>
    <t>Walking /m</t>
  </si>
  <si>
    <t>KA</t>
  </si>
  <si>
    <t>Beugen, Bücken, Knien (incl. Aufrichten)</t>
  </si>
  <si>
    <t>Bending arm, bending down, kneeling (incl. straightening up)</t>
  </si>
  <si>
    <t>KB</t>
  </si>
  <si>
    <t>Setzen und Aufstehen</t>
  </si>
  <si>
    <t>Sitting down and standing up</t>
  </si>
  <si>
    <t>Tab_ASY_VisualCheck</t>
  </si>
  <si>
    <t>1 Prüfmerkmal</t>
  </si>
  <si>
    <t>1 Test characteristic</t>
  </si>
  <si>
    <t>2 Prüfmerkmale</t>
  </si>
  <si>
    <t>2 Test characteristics</t>
  </si>
  <si>
    <t>3 Prüfmerkmale</t>
  </si>
  <si>
    <t>3 Test characteristics</t>
  </si>
  <si>
    <t>4 Prüfmerkmale</t>
  </si>
  <si>
    <t>4 Test characteristics</t>
  </si>
  <si>
    <t>5 Prüfmerkmale</t>
  </si>
  <si>
    <t>5 Test characteristics</t>
  </si>
  <si>
    <t>6 Prüfmerkmale</t>
  </si>
  <si>
    <t>6 Test characteristics</t>
  </si>
  <si>
    <t>7 Prüfmerkmale</t>
  </si>
  <si>
    <t>7 Test characteristics</t>
  </si>
  <si>
    <t>8 Prüfmerkmale</t>
  </si>
  <si>
    <t>8 Test characteristics</t>
  </si>
  <si>
    <t>9 Prüfmerkmale</t>
  </si>
  <si>
    <t>9 Test characteristics</t>
  </si>
  <si>
    <t>10 Prüfmerkmale</t>
  </si>
  <si>
    <t>10 Test characteristics</t>
  </si>
  <si>
    <t>Tab_ASY_CheckingMeasuring_1</t>
  </si>
  <si>
    <t>Gauges (M-P)</t>
  </si>
  <si>
    <t>Tab_ASY_CheckingMeasuring_2</t>
  </si>
  <si>
    <t>Maß oder Form &lt;150mm</t>
  </si>
  <si>
    <t>Dimension or shape &lt;150mm</t>
  </si>
  <si>
    <t>Maß oder Form 150-500mm</t>
  </si>
  <si>
    <t>Dimension or shape 150-500mm</t>
  </si>
  <si>
    <t>Maß oder Form  500-2000mm</t>
  </si>
  <si>
    <t>Dimension or shape 500-2000mm</t>
  </si>
  <si>
    <t>Gewinde &lt;150mm</t>
  </si>
  <si>
    <t>Thread &lt;150mm</t>
  </si>
  <si>
    <t>Gewinde 150-500</t>
  </si>
  <si>
    <t>Thread 150-500</t>
  </si>
  <si>
    <t>Tab_ASY_CheckingMeasuring_3</t>
  </si>
  <si>
    <t>Maß prüfen &lt;150mm</t>
  </si>
  <si>
    <t>Check dimension &lt;150mm</t>
  </si>
  <si>
    <t>Maß prüfen 150-500mm</t>
  </si>
  <si>
    <t>Check dimension 150-500mm</t>
  </si>
  <si>
    <t>Maß ermitteln &lt;150mm</t>
  </si>
  <si>
    <t>Determine dimension &lt;150mm</t>
  </si>
  <si>
    <t>Maß ermitteln 150-500mm</t>
  </si>
  <si>
    <t>Determine dimension 150-500mm</t>
  </si>
  <si>
    <t>Tab_ASY_CheckingMeasuring_4</t>
  </si>
  <si>
    <t>ohne bewegliche Teile &lt;150mm</t>
  </si>
  <si>
    <t>without moving parts &lt;150mm</t>
  </si>
  <si>
    <t>ohne bewegliche Teile 150-500mm</t>
  </si>
  <si>
    <t>without moving parts 150-500mm</t>
  </si>
  <si>
    <t>ohne bewegliche Teile 500-2000mm</t>
  </si>
  <si>
    <t>without moving parts 500-2000mm</t>
  </si>
  <si>
    <t>mit beweglichen Teilen &lt;150mm</t>
  </si>
  <si>
    <t>with moving parts &lt;150mm</t>
  </si>
  <si>
    <t>mit beweglichen Teilen 150-500mm</t>
  </si>
  <si>
    <t>with moving parts 150-500mm</t>
  </si>
  <si>
    <t>Tab_ASY_CheckingMeasuring_5</t>
  </si>
  <si>
    <t>Messbereich &lt;150mm</t>
  </si>
  <si>
    <t>Measuring range &lt;150mm</t>
  </si>
  <si>
    <t>Messbereich 150-500mm</t>
  </si>
  <si>
    <t>Measuring range 150-500mm</t>
  </si>
  <si>
    <t>Tab_ASY_Marking</t>
  </si>
  <si>
    <t>Körner oder Schlagzahl (ohne Kontrolle)</t>
  </si>
  <si>
    <t>Center punch or embossing punch (without control)</t>
  </si>
  <si>
    <t>Körner oder Schlagzahl (mit Kontrolle)</t>
  </si>
  <si>
    <t>Center punch or embossing punch (with control)</t>
  </si>
  <si>
    <t>Zirkel (Durschmesser &lt;30mm)</t>
  </si>
  <si>
    <t>Compass (diameter &lt;30mm)</t>
  </si>
  <si>
    <t>Zirkel (Zuschlag für Einstellen)</t>
  </si>
  <si>
    <t>Compass (extra charge for setting)</t>
  </si>
  <si>
    <t>Schreibzeug (pro Zeichen)</t>
  </si>
  <si>
    <t>Pen (per character)</t>
  </si>
  <si>
    <t>Pinsel (pro Stelle)</t>
  </si>
  <si>
    <t>Brush (per character)</t>
  </si>
  <si>
    <t>Stempel (pro Stelle)</t>
  </si>
  <si>
    <t>Stamp (per digit)</t>
  </si>
  <si>
    <t>Tab_ASY_Treatment_1</t>
  </si>
  <si>
    <t>Tab_ASY_Treatment_2</t>
  </si>
  <si>
    <t>Druckluft, Bürste, Besen (10x10cm)</t>
  </si>
  <si>
    <t>Compressed air, brush, broom (10x10cm)</t>
  </si>
  <si>
    <t>Druckluft, Bürste, Besen (20x20cm)</t>
  </si>
  <si>
    <t>Compressed air, brush, broom (20x20cm)</t>
  </si>
  <si>
    <t>M-RAC</t>
  </si>
  <si>
    <t>Druckluft, Bürste, Besen (50x50cm)</t>
  </si>
  <si>
    <t>Compressed air, brush, broom (50x50cm)</t>
  </si>
  <si>
    <t>M-RAD</t>
  </si>
  <si>
    <t>Pinsel (10x10cm)</t>
  </si>
  <si>
    <t>Brush (10x10cm)</t>
  </si>
  <si>
    <t>Pinsel (20x20cm)</t>
  </si>
  <si>
    <t>Brush (20x20cm)</t>
  </si>
  <si>
    <t>Pinsel (50x50cm)</t>
  </si>
  <si>
    <t>Brush (50x50cm)</t>
  </si>
  <si>
    <t>Lappen, Tuch (10x10cm)</t>
  </si>
  <si>
    <t>Cloth (10x10cm)</t>
  </si>
  <si>
    <t>Lappen, Tuch (20x20cm)</t>
  </si>
  <si>
    <t>Cloth (20x20cm)</t>
  </si>
  <si>
    <t>Lappen, Tuch (50x50cm)</t>
  </si>
  <si>
    <t>Cloth (50x50cm)</t>
  </si>
  <si>
    <t>Tab_ASY_Treatment_3</t>
  </si>
  <si>
    <t>Pinsel, Ölkanne, Lappen, Tuch (Punkt)</t>
  </si>
  <si>
    <t>Brush, oil can, rag, cloth (dot)</t>
  </si>
  <si>
    <t>Pinsel, Ölkanne, Lappen, Tuch (10x10cm)</t>
  </si>
  <si>
    <t>Brush, oil can, rag, cloth (10x10cm)</t>
  </si>
  <si>
    <t>Pinsel, Ölkanne, Lappen, Tuch (20x20cm)</t>
  </si>
  <si>
    <t>Brush, oil can, rag, cloth (20x20cm)</t>
  </si>
  <si>
    <t>Pinsel, Ölkanne, Lappen, Tuch (50x50cm)</t>
  </si>
  <si>
    <t>Brush, oil can, rag, cloth (50x50cm)</t>
  </si>
  <si>
    <t>Spraydose (10x10cm)</t>
  </si>
  <si>
    <t>Spray can (10x10cm)</t>
  </si>
  <si>
    <t>Spraydose (20x20cm)</t>
  </si>
  <si>
    <t>Spray can (20x20cm)</t>
  </si>
  <si>
    <t>Spraydose (50x50cm)</t>
  </si>
  <si>
    <t>Spray can (50x50cm)</t>
  </si>
  <si>
    <t>Fettpresse (Punkt)</t>
  </si>
  <si>
    <t>Grease gun (dot)</t>
  </si>
  <si>
    <t>Rolle (10x10cm)</t>
  </si>
  <si>
    <t>Roll (10x10cm)</t>
  </si>
  <si>
    <t>Rolle (20x20cm)</t>
  </si>
  <si>
    <t>Roll (20x20cm)</t>
  </si>
  <si>
    <t>Rolle (50x50cm)</t>
  </si>
  <si>
    <t>Roll (50x50cm)</t>
  </si>
  <si>
    <t>Tab_ASY_Treatment_4</t>
  </si>
  <si>
    <t>Pinsel, Spachtel (Punkt)</t>
  </si>
  <si>
    <t>Brush, putty knife (point)</t>
  </si>
  <si>
    <t>Pinsel, Spachtel (10x10cm)</t>
  </si>
  <si>
    <t>Brush, putty knife (10x10cm)</t>
  </si>
  <si>
    <t>Pinsel, Spachtel (20x20cm)</t>
  </si>
  <si>
    <t>Brush, putty knife (20x20cm)</t>
  </si>
  <si>
    <t>Pinsel, Spachtel (50x50cm)</t>
  </si>
  <si>
    <t>Brush, putty knife (50x50cm)</t>
  </si>
  <si>
    <t>Tube, Stift (Punkt)</t>
  </si>
  <si>
    <t>Tube, pen (dot)</t>
  </si>
  <si>
    <t>Tube, Stift (10x10cm)</t>
  </si>
  <si>
    <t>Tube, pen (10x10cm)</t>
  </si>
  <si>
    <t>Tube, Stift (20x20cm)</t>
  </si>
  <si>
    <t>Tube, pen (20x20cm)</t>
  </si>
  <si>
    <t>Tube, Stift (50x50cm)</t>
  </si>
  <si>
    <t>Tube, pen (50x50cm)</t>
  </si>
  <si>
    <t>Tab_ASY_Treatment_5</t>
  </si>
  <si>
    <t>Hände reinigen/waschen</t>
  </si>
  <si>
    <t>Clean/wash hands</t>
  </si>
  <si>
    <t>Hände abwischen / abtrocknen</t>
  </si>
  <si>
    <t>Wipe / dry hands</t>
  </si>
  <si>
    <t>Tab_ASY_TighteningLoosening_1</t>
  </si>
  <si>
    <t>Tab_ASY_TighteningLoosening_2</t>
  </si>
  <si>
    <t>Klemmzange</t>
  </si>
  <si>
    <t>Clamp tongs</t>
  </si>
  <si>
    <t>Schraubzwinge</t>
  </si>
  <si>
    <t>Screw clamp</t>
  </si>
  <si>
    <t>Tab_ASY_TighteningLoosening_3</t>
  </si>
  <si>
    <t>Spannpratze</t>
  </si>
  <si>
    <t>Clamping claw</t>
  </si>
  <si>
    <t>M-FLA</t>
  </si>
  <si>
    <t>Spannhebel (manuell)</t>
  </si>
  <si>
    <t>Clamping lever (manual)</t>
  </si>
  <si>
    <t>M-FMA</t>
  </si>
  <si>
    <t>Spanhebel (pneumatisch)</t>
  </si>
  <si>
    <t>Clamping lever (pneumatic)</t>
  </si>
  <si>
    <t>M-FNA</t>
  </si>
  <si>
    <t>Schraubstock (ungefähr)</t>
  </si>
  <si>
    <t>Vise (approximate)</t>
  </si>
  <si>
    <t>Schraubstock (genau)</t>
  </si>
  <si>
    <t>Vise (exact)</t>
  </si>
  <si>
    <t>Backenfutter</t>
  </si>
  <si>
    <t>Jaw chuck</t>
  </si>
  <si>
    <t>Magnetplatte</t>
  </si>
  <si>
    <t>Magnetic plate</t>
  </si>
  <si>
    <t>Tab_ASY_Unpacking_1</t>
  </si>
  <si>
    <t>Tab_ASY_Unpacking_2</t>
  </si>
  <si>
    <t>von Hand (20x20xm)</t>
  </si>
  <si>
    <t>by hand (20x20xm)</t>
  </si>
  <si>
    <t>von Hand (50x50xm)</t>
  </si>
  <si>
    <t>by hand (50x50xm)</t>
  </si>
  <si>
    <t>von Hand (100x100xm)</t>
  </si>
  <si>
    <t>by hand (100x100xm)</t>
  </si>
  <si>
    <t>mit Werkzeug (20x20cm)</t>
  </si>
  <si>
    <t>with tool (20x20cm)</t>
  </si>
  <si>
    <t>mit Werkzeug (50x50cm)</t>
  </si>
  <si>
    <t>with tool (50x50cm)</t>
  </si>
  <si>
    <t>mit Werkzeug (100x100cm)</t>
  </si>
  <si>
    <t>with tool (100x100cm)</t>
  </si>
  <si>
    <t>Tab_ASY_Unpacking_3</t>
  </si>
  <si>
    <t>Vakuumpackung (20x20cm)</t>
  </si>
  <si>
    <t>Vacuum pack (20x20cm)</t>
  </si>
  <si>
    <t>Vakuumpackung (50x50cm)</t>
  </si>
  <si>
    <t>Vacuum pack (50x50cm)</t>
  </si>
  <si>
    <t>Folienpackung (20x20cm)</t>
  </si>
  <si>
    <t>Foil pack (20x20cm)</t>
  </si>
  <si>
    <t>Folienpackung (50x50cm)</t>
  </si>
  <si>
    <t>Foil package (50x50cm)</t>
  </si>
  <si>
    <t>Karton (20x20cm)</t>
  </si>
  <si>
    <t>Cardboard box (20x20cm)</t>
  </si>
  <si>
    <t>Karton (50x50cm)</t>
  </si>
  <si>
    <t>Cardboard box (50x50cm)</t>
  </si>
  <si>
    <t>Beutel Folie, Papier (20x20cm)</t>
  </si>
  <si>
    <t>Bag foil, paper (20x20cm)</t>
  </si>
  <si>
    <t>Beutel Folie, Papier (50x50cm)</t>
  </si>
  <si>
    <t>Bag foil, paper (50x50cm)</t>
  </si>
  <si>
    <t>Wellpappe, Papier (20x20cm)</t>
  </si>
  <si>
    <t>Corrugated cardboard, paper (20x20cm)</t>
  </si>
  <si>
    <t>Wellpappe, Papier (50x50cm)</t>
  </si>
  <si>
    <t>Corrugated cardboard, paper (50x50cm)</t>
  </si>
  <si>
    <t>Tab_ASY_AdhesiveApplication_1</t>
  </si>
  <si>
    <t>Label or sticker (M-K)</t>
  </si>
  <si>
    <t>Tab_ASY_AdhesiveApplication_2</t>
  </si>
  <si>
    <t>einzeln, ungefähr</t>
  </si>
  <si>
    <t>single, approximate</t>
  </si>
  <si>
    <t>einzeln, genau, ohne Schablone</t>
  </si>
  <si>
    <t>single, exact, without template</t>
  </si>
  <si>
    <t>einzeln, genau, mit Schablone</t>
  </si>
  <si>
    <t>single, exact, with template</t>
  </si>
  <si>
    <t>vom Spender, ungefähr</t>
  </si>
  <si>
    <t>from magazine, approximate</t>
  </si>
  <si>
    <t>vom Spender, genau, ohne Schablone</t>
  </si>
  <si>
    <t>from magazine, exact, without template</t>
  </si>
  <si>
    <t>vom Spender, genau, mit Schablone</t>
  </si>
  <si>
    <t>from magazine, exactly, with template</t>
  </si>
  <si>
    <t>von Karte, ungefähr</t>
  </si>
  <si>
    <t>from card, approximate</t>
  </si>
  <si>
    <t>von Karte, genau, ohne Schablone</t>
  </si>
  <si>
    <t>from card, exactly, without template</t>
  </si>
  <si>
    <t>von Karte, genau, mit Schablone</t>
  </si>
  <si>
    <t>from card, exactly, with template</t>
  </si>
  <si>
    <t>Tab_ASY_AdhesiveApplication_3</t>
  </si>
  <si>
    <t>ohne Schutzfolie (10x10cm)</t>
  </si>
  <si>
    <t>without protection foil (10x10cm)</t>
  </si>
  <si>
    <t>ohne Schutzfolie (20x20cm)</t>
  </si>
  <si>
    <t>without protection foil (20x20cm)</t>
  </si>
  <si>
    <t>ohne Schutzfolie (50x50cm)</t>
  </si>
  <si>
    <t>without protection foil (50x50cm)</t>
  </si>
  <si>
    <t>mit Schutzfolie (10x10cm)</t>
  </si>
  <si>
    <t>with protection foil (10x10cm)</t>
  </si>
  <si>
    <t>mit Schutzfolie (20x20cm)</t>
  </si>
  <si>
    <t>with protection foil (20x20cm)</t>
  </si>
  <si>
    <t>mit Schutzfolie (50x50cm)</t>
  </si>
  <si>
    <t>with protection foil (50x50cm)</t>
  </si>
  <si>
    <t>Tab_ASY_AdhesiveApplication_4</t>
  </si>
  <si>
    <t>einzeln oder vom Abroller Länge &lt;20cm</t>
  </si>
  <si>
    <t>single or from dispenser length &lt;20cm</t>
  </si>
  <si>
    <t>einzeln oder vom Abroller &lt;50cm</t>
  </si>
  <si>
    <t>single or from dispenser &lt;50cm</t>
  </si>
  <si>
    <t>mit Handabroller erste 50cm</t>
  </si>
  <si>
    <t>with hand dispenser first 50cm</t>
  </si>
  <si>
    <t>mit Handabroller weitere 50cm</t>
  </si>
  <si>
    <t>with hand dispenser further 50cm</t>
  </si>
  <si>
    <t>Tab_ASY_AssembleStandardParts</t>
  </si>
  <si>
    <t>mit einem Werkzeug (Spannhülse, Stift, Splint ...)</t>
  </si>
  <si>
    <t>with one tool (clamping sleeve, pin, split pin ...)</t>
  </si>
  <si>
    <t>mit zwei Werkzeugen (Splint, Stift, Doppelsplint ...)</t>
  </si>
  <si>
    <t>with two tools (split pin, pin, double split pin ...)</t>
  </si>
  <si>
    <t>Spezialwerkzeug (Seegerring, Blindniet ...)</t>
  </si>
  <si>
    <t>special tool (circlip, blind rivet ...)</t>
  </si>
  <si>
    <t>O-Ring ohne Werkzeug</t>
  </si>
  <si>
    <t>O-ring without tool</t>
  </si>
  <si>
    <t>O-Ring mit Werkzeug</t>
  </si>
  <si>
    <t>O-ring with tool</t>
  </si>
  <si>
    <t>Winkelgelenk ohne Werkzeug</t>
  </si>
  <si>
    <t>Angle joint without tool</t>
  </si>
  <si>
    <t>Winkelgelenk mit Werkzeug</t>
  </si>
  <si>
    <t>Angle joint with tool</t>
  </si>
  <si>
    <t>Sicherungsblech mit 2 Werkzeugen</t>
  </si>
  <si>
    <t>Locking plate with 2 tools</t>
  </si>
  <si>
    <t>Zykluszeitrechner Montage</t>
  </si>
  <si>
    <t>Montagegruppe</t>
  </si>
  <si>
    <t>Gewicht [kg]</t>
  </si>
  <si>
    <t>Jahresstückzahl</t>
  </si>
  <si>
    <t>Länge [mm]</t>
  </si>
  <si>
    <t>Kundentakt [s]</t>
  </si>
  <si>
    <t>Breite [mm]</t>
  </si>
  <si>
    <t>Höhe [mm]</t>
  </si>
  <si>
    <t>Anzahl Einzelteile</t>
  </si>
  <si>
    <t>Zykluszeit [s]</t>
  </si>
  <si>
    <t>OP</t>
  </si>
  <si>
    <t>Sub-Komponente</t>
  </si>
  <si>
    <t>Anzahl
BOM</t>
  </si>
  <si>
    <t>Gewicht 
[kg]</t>
  </si>
  <si>
    <t>Grundvorgang</t>
  </si>
  <si>
    <t>Unterkategorie 1</t>
  </si>
  <si>
    <t>Unterkategorie 2</t>
  </si>
  <si>
    <t>MTM
Code</t>
  </si>
  <si>
    <t>Einzelzeit
[s]</t>
  </si>
  <si>
    <t>Korrigiert
[s]</t>
  </si>
  <si>
    <t>Total time
[s]</t>
  </si>
  <si>
    <t>Parameter 1</t>
  </si>
  <si>
    <t>Parameter 2</t>
  </si>
  <si>
    <t>Parameter 3</t>
  </si>
  <si>
    <t>Ergebnis</t>
  </si>
  <si>
    <t>All worksheets</t>
  </si>
  <si>
    <t>ISO-Code</t>
  </si>
  <si>
    <t>ISO</t>
  </si>
  <si>
    <t>Hinzufügen des Clusters 'Supply Chain'</t>
  </si>
  <si>
    <t>Fehler behoben: Per Rechtsklick hinzugefügte Screenshots wurden manchmal nicht richtig gespeichert, wenn ein weiteres Object (Form, Steuerelement etc.) auf dem Blatt vorhanden ist</t>
  </si>
  <si>
    <t>Fehler behoben: Stunden pro Jahr wurde am Lieferant 2 für neue Maschinen (warum auch immer) nicht mitgezogen</t>
  </si>
  <si>
    <t>Fehler behoben: MGK-Satz Vorgabe wurde für Tier 2 und Tier 1 nicht angezogen</t>
  </si>
  <si>
    <t>Fehler behoben: Check - CheckQ Trennzeichen entsprechend neuer ACT-Q Logik von '-' zu '~' geändert</t>
  </si>
  <si>
    <t>Fehler behoben: Gewinnsatz abh. von den VVGK-Einstellungen statt von den Gewinn-Einstellungen im Reiter Premises</t>
  </si>
  <si>
    <t>Fehler behoben: Fehler in der Formel zur Berechnung der Arbeitsstunden pro Jahr für produktspezifische Maschinen ($ vergessen)</t>
  </si>
  <si>
    <t>6.1.7.007</t>
  </si>
  <si>
    <t>CO2: Für per LKW zurückgelegte Strecken wird die Luftlinie x 1,3 veranschlagt</t>
  </si>
  <si>
    <t>6.1.7.008</t>
  </si>
  <si>
    <t>Implementieren des neuen Montageschnellrechners</t>
  </si>
  <si>
    <t>6.1.7.009</t>
  </si>
  <si>
    <t>6.1.8</t>
  </si>
  <si>
    <t>Export: Erweiterung Export to PowerPoint Funktion: Results Overview</t>
  </si>
  <si>
    <t>Hinzufügen und Verlinken der Spalte "Arbeitstage pro Jahr"</t>
  </si>
  <si>
    <t>Hinzufügen der Spalte ISO-Code</t>
  </si>
  <si>
    <t>01-01-03 Part 1.3</t>
  </si>
  <si>
    <t>01-01-02 Part 1.2</t>
  </si>
  <si>
    <t>01-01-01 Part 1.1</t>
  </si>
  <si>
    <t>manuell</t>
  </si>
  <si>
    <t>auto</t>
  </si>
  <si>
    <t>manual</t>
  </si>
  <si>
    <t>Analysis Zahlenformat</t>
  </si>
  <si>
    <t>btnLogSync</t>
  </si>
  <si>
    <t>ED&amp;T</t>
  </si>
  <si>
    <t>LogisticsCopyToCalc</t>
  </si>
  <si>
    <t>Verpackungsmaterial</t>
  </si>
  <si>
    <t>#.##0,00</t>
  </si>
  <si>
    <t>Analysis: Über die Einstellungen (Zahnrad oben rechts) kann jetzt das Zahlenformat (und damit die Anzahl an Nachkommastellen) angepasst werden</t>
  </si>
  <si>
    <t>6.1.8.5</t>
  </si>
  <si>
    <t>Implementierung des Logistik-Moduls (BETA)</t>
  </si>
  <si>
    <t>6.1.8.005</t>
  </si>
  <si>
    <t>Kraftstoff</t>
  </si>
  <si>
    <t>Lizenz</t>
  </si>
  <si>
    <t>Lizensierung aktiviert</t>
  </si>
  <si>
    <t>InfoInit</t>
  </si>
  <si>
    <t>CO₂ Fert.
[%-Zuschlag]</t>
  </si>
  <si>
    <t>StraßeEnergie</t>
  </si>
  <si>
    <t>StraßePersonal</t>
  </si>
  <si>
    <t>StraßeSonstige</t>
  </si>
  <si>
    <t>Transportkosten See</t>
  </si>
  <si>
    <t>Transportkosten Schiene</t>
  </si>
  <si>
    <t>Transportkosten Luft</t>
  </si>
  <si>
    <t>Transportkosten Straße</t>
  </si>
  <si>
    <t>Pro Bauteil anfallende Kraftstoffkosten inkl. AdBlue</t>
  </si>
  <si>
    <t>Summe aller durch den Transport auf der Straße anfallenden Kosten pro Bauteil.</t>
  </si>
  <si>
    <t>Pro Bauteil anfallende sonstige Kosten.
Enthalten sind Kosten für Be- und Entladetätigkeiten, Maut, Reifenverschleiß, Öl, Inspektion und Wartung sowie sämtliche leistungsunabhängigen zeitabhängigen Kosten (kalk. AfA, Zinsen, Steuern, Versicherung, HU/AU/SP).</t>
  </si>
  <si>
    <t>Pro Bauteil anfallende Personalkosten.
Enthalten sind neben der reinen Lenkzeit auch Pausen- und Ruhezeiten.</t>
  </si>
  <si>
    <t>Region</t>
  </si>
  <si>
    <t>Zuschlag 
2-S [%]</t>
  </si>
  <si>
    <t>Zuschlag 
3-S [%]</t>
  </si>
  <si>
    <t>M1S</t>
  </si>
  <si>
    <t>F1S</t>
  </si>
  <si>
    <t>M2S</t>
  </si>
  <si>
    <t>F2S</t>
  </si>
  <si>
    <t>M3S</t>
  </si>
  <si>
    <t>F3S</t>
  </si>
  <si>
    <t>Z2S</t>
  </si>
  <si>
    <t>Z3S</t>
  </si>
  <si>
    <t>ABC</t>
  </si>
  <si>
    <t>UserDomain</t>
  </si>
  <si>
    <t>UserName</t>
  </si>
  <si>
    <t>Liste von Admins</t>
  </si>
  <si>
    <t>CO₂-Modul ist geladen</t>
  </si>
  <si>
    <t>Logistik-Modul ist geladen</t>
  </si>
  <si>
    <t>Werkzeugkosten-Modul ist geladen</t>
  </si>
  <si>
    <t>Entwicklungskosten-Modul ist geladen</t>
  </si>
  <si>
    <t>UserRole</t>
  </si>
  <si>
    <t>dummy.dummy</t>
  </si>
  <si>
    <t>spectator</t>
  </si>
  <si>
    <t>6.1.9.001</t>
  </si>
  <si>
    <t>Lizenzierung und EULA aktualisiert (Lizenzierung ist standardmäßig nicht aktviert)</t>
  </si>
  <si>
    <t>SeeTransport</t>
  </si>
  <si>
    <t>SeeContainerPacken</t>
  </si>
  <si>
    <t>Laden und Entladen des Containers</t>
  </si>
  <si>
    <t>Aktualisierung des Logistik-Moduls (BETA)</t>
  </si>
  <si>
    <t>Diverse kleine Fehlerbehebungen und Anpassungen</t>
  </si>
  <si>
    <t>6.1.9-002</t>
  </si>
  <si>
    <t>Dünzl, Dennis</t>
  </si>
  <si>
    <t>Höhe UserForm an aktiven Bildschirm angepasst (sonst abgeschnitten)</t>
  </si>
  <si>
    <t>Anpassungen Handlingsmatrix (Unprecise = Standard-Handling, Precise = Bestücken Maschine inkl. Spannen)</t>
  </si>
  <si>
    <t>Aufnehmen und Platzieren</t>
  </si>
  <si>
    <t>Platzieren (höherer Kontrollaufwand)</t>
  </si>
  <si>
    <t>Gehen [m]</t>
  </si>
  <si>
    <t>Körperbewegungen
 (Beugen, Bücken, Knien)</t>
  </si>
  <si>
    <t>Reinigen (Druckluft)
oder Lappen</t>
  </si>
  <si>
    <t>Festspannen</t>
  </si>
  <si>
    <t>Gesamtdauer [s]</t>
  </si>
  <si>
    <t>Beispiel</t>
  </si>
  <si>
    <t>QTY</t>
  </si>
  <si>
    <t>Zeit [s]</t>
  </si>
  <si>
    <t>Code</t>
  </si>
  <si>
    <t>Dauer [s]</t>
  </si>
  <si>
    <t>AC3</t>
  </si>
  <si>
    <t>Bestücken Lackierrack oder Maschine ohne Spannung</t>
  </si>
  <si>
    <t>Körperbewegungen
 (Gehen, Beugen, Bücken, Knien)</t>
  </si>
  <si>
    <t>Bearbeitungsraum öffnen</t>
  </si>
  <si>
    <t>Manuell</t>
  </si>
  <si>
    <t>Laden Werkzeugmaschine</t>
  </si>
  <si>
    <t>0 - 0,5</t>
  </si>
  <si>
    <t>1 - 8</t>
  </si>
  <si>
    <t>8 - 22</t>
  </si>
  <si>
    <t>22 - 50</t>
  </si>
  <si>
    <t>Informativ (alter Stand)</t>
  </si>
  <si>
    <t>6.1.9-004</t>
  </si>
  <si>
    <t>Initiale Formulargröße angepasst</t>
  </si>
  <si>
    <t>6.1.9-006</t>
  </si>
  <si>
    <t>AssemblyTemplate und Übersetzung angepasst</t>
  </si>
  <si>
    <t>Christoph Regensburger</t>
  </si>
  <si>
    <t>Wiederholung Montageschritt</t>
  </si>
  <si>
    <t>Repetitions assembly step</t>
  </si>
  <si>
    <t>QTY BOM</t>
  </si>
  <si>
    <t>Anzahl BOM</t>
  </si>
  <si>
    <t>Length [mm]</t>
  </si>
  <si>
    <t>Width [mm]</t>
  </si>
  <si>
    <t>Heigth [mm]</t>
  </si>
  <si>
    <t>QTY Sub-parts</t>
  </si>
  <si>
    <t>Basic operation</t>
  </si>
  <si>
    <t>Subcategory 1</t>
  </si>
  <si>
    <t>Subcategory 2</t>
  </si>
  <si>
    <t>Annual volume</t>
  </si>
  <si>
    <t>Customer cycle [s]</t>
  </si>
  <si>
    <t>Utilization</t>
  </si>
  <si>
    <t>Cycle time [s]</t>
  </si>
  <si>
    <t>Cycle time calculator assembly</t>
  </si>
  <si>
    <t>Assembly group</t>
  </si>
  <si>
    <t>Modul Layout AWS Standard (LayoutReset) - Ausblenden Gitternetzlinien &amp; Nullen in Kalkulationsblatt aufgenommen</t>
  </si>
  <si>
    <t>6.1.9-007</t>
  </si>
  <si>
    <t>Emissionsfaktor Strom konventionell</t>
  </si>
  <si>
    <t>Emissionsfaktor grüner Strom</t>
  </si>
  <si>
    <t>Emissionsfaktor Strom (Auswahl)</t>
  </si>
  <si>
    <r>
      <t>Kategorie CO</t>
    </r>
    <r>
      <rPr>
        <vertAlign val="subscript"/>
        <sz val="10"/>
        <rFont val="Arial Narrow"/>
        <family val="2"/>
        <scheme val="minor"/>
      </rPr>
      <t>2</t>
    </r>
    <r>
      <rPr>
        <sz val="10"/>
        <rFont val="Arial Narrow"/>
        <family val="2"/>
        <scheme val="minor"/>
      </rPr>
      <t xml:space="preserve"> Zuschlag</t>
    </r>
  </si>
  <si>
    <r>
      <t>Category CO</t>
    </r>
    <r>
      <rPr>
        <vertAlign val="subscript"/>
        <sz val="10"/>
        <rFont val="Arial Narrow"/>
        <family val="2"/>
        <scheme val="minor"/>
      </rPr>
      <t>2</t>
    </r>
    <r>
      <rPr>
        <sz val="10"/>
        <rFont val="Arial Narrow"/>
        <family val="2"/>
        <scheme val="minor"/>
      </rPr>
      <t xml:space="preserve"> Overhead</t>
    </r>
  </si>
  <si>
    <t>Emission factor Electricity (Selected)</t>
  </si>
  <si>
    <t>Emission factor green electricity</t>
  </si>
  <si>
    <t xml:space="preserve">Emission factor conventional electricity </t>
  </si>
  <si>
    <t>Zellen für Emissionsfaktoren für konventionell und Ökostrom angefügt (Zeile 81+82) + Übersetzung</t>
  </si>
  <si>
    <t>Textfarbe in Spalte R auf neutral gestellt, sodass CO2 Kategorie nicht immer sichtbar ist + Anpassung Funktion "LoadModule", dass Spalte eingefärbt und Breite angepasst wird, wenn CO2 Addin geladen wird</t>
  </si>
  <si>
    <t>Energieverbrauch</t>
  </si>
  <si>
    <t>CO₂ Fertigungsprozess</t>
  </si>
  <si>
    <t>Wärme</t>
  </si>
  <si>
    <t>ind. Verb.</t>
  </si>
  <si>
    <t>Trans.</t>
  </si>
  <si>
    <t>Büro</t>
  </si>
  <si>
    <r>
      <rPr>
        <sz val="10"/>
        <rFont val="Symbol"/>
        <family val="1"/>
        <charset val="2"/>
      </rPr>
      <t>S</t>
    </r>
    <r>
      <rPr>
        <sz val="10"/>
        <rFont val="Arial Narrow"/>
        <family val="2"/>
      </rPr>
      <t xml:space="preserve"> OH</t>
    </r>
  </si>
  <si>
    <t>Spalten für CO2 Auswertung angelegt (ED bis EO)</t>
  </si>
  <si>
    <t>Namen CO2MfgOverhead_S + CO2MfgOverhead_M + CO2MfgOverhead_L angelegt
Namen CO2LowLimitL + CO2LowLimitM angelegt
Namen für CO2MfgOverhead Split angelegt</t>
  </si>
  <si>
    <t>CO₂ Material</t>
  </si>
  <si>
    <t>Rohmat.</t>
  </si>
  <si>
    <t>CO₂ Fert.</t>
  </si>
  <si>
    <t>CO2-Fert-Zuschlag</t>
  </si>
  <si>
    <t>6.1.9-008</t>
  </si>
  <si>
    <t>TemplateRow</t>
  </si>
  <si>
    <t>Tabellenkopf Spalte O (O6) umbenannt in 'CO2-Fert-Zuschlag'</t>
  </si>
  <si>
    <t>Energy consumption</t>
  </si>
  <si>
    <t>Heat energy</t>
  </si>
  <si>
    <t>Ind. Cons.</t>
  </si>
  <si>
    <t>Office</t>
  </si>
  <si>
    <t>Factor</t>
  </si>
  <si>
    <t>Raw Mat.</t>
  </si>
  <si>
    <t>CO₂ Mfg.</t>
  </si>
  <si>
    <t>Translation</t>
  </si>
  <si>
    <t>Übersetzungen erweitert um CO2 Auswertung Begrifflichkeiten</t>
  </si>
  <si>
    <t>CO₂ Manufacturing process</t>
  </si>
  <si>
    <t>Bereich Kalkulation angepasst um CO2 Spalten (von ":EK" zu ":EV")
Module in vba: AnalysisExtractData; SyncCalc; CalcInsertFormulas</t>
  </si>
  <si>
    <t>6.1.9-009</t>
  </si>
  <si>
    <t>∑ Fert.</t>
  </si>
  <si>
    <t>∑ Mat.</t>
  </si>
  <si>
    <t>∑ Mfg.</t>
  </si>
  <si>
    <t>kWh/Stk</t>
  </si>
  <si>
    <t>kWh/pcs</t>
  </si>
  <si>
    <t>Formeln aus Template für CO2 Spalten gelöscht (werden über Addin/ vba eingefügt)</t>
  </si>
  <si>
    <t>Formeln aus Calculation für CO2 Spalten gelöscht (werden über Addin/ vba eingefügt)</t>
  </si>
  <si>
    <t>6.1.9-010</t>
  </si>
  <si>
    <t>Zellen für Emissionsfaktoren für konventionell und Ökostrom gelöscht (Zeile 81+82)</t>
  </si>
  <si>
    <t>gCO₂eq</t>
  </si>
  <si>
    <t>Einheiten für CO2 Auswertung angepasst (ED bis ER) (von "/Stk" gelöscht, da in Formel für Stromverbrauch wird nun Anzahl berücksichtigt)</t>
  </si>
  <si>
    <t>btnValuesCO2ClusterAnalysis</t>
  </si>
  <si>
    <t>CO2RefreshCO2ClusterScenarios</t>
  </si>
  <si>
    <t>Berechnet den CO2-Split für ein rein konventionelles Szenario und ein rein Öko-Strom Szenario. Fügt anschließend diese Ergebnisse als Werte im CO2 Cluster ein.</t>
  </si>
  <si>
    <t>Calculates the CO2 split for a purely conventional scenario and a purely green electricity scenario. Then insert these results as values in the CO2 cluster.</t>
  </si>
  <si>
    <t>XML</t>
  </si>
  <si>
    <t>6.1.9-011</t>
  </si>
  <si>
    <t>Informationen für Knopf "Werteübertrag CO2 Szenario" eingetragen + entsprechenden Knopf im XML Code hinterlegt</t>
  </si>
  <si>
    <t>Werte aktualisieren</t>
  </si>
  <si>
    <t>Refresh values</t>
  </si>
  <si>
    <t>Werte erneuern Szenarien CO2 Cluster</t>
  </si>
  <si>
    <t>Refresh values Scenarios CO2 Cluster</t>
  </si>
  <si>
    <t>Formulare</t>
  </si>
  <si>
    <t>6.1.9-012</t>
  </si>
  <si>
    <t>ClusterCO2</t>
  </si>
  <si>
    <t>Cluster CO2</t>
  </si>
  <si>
    <t>Premises CO2</t>
  </si>
  <si>
    <t>Prämissen CO2</t>
  </si>
  <si>
    <t>Documentation</t>
  </si>
  <si>
    <t>Anlage Hilfebereich für Sheet CO2 und ClusterCO2</t>
  </si>
  <si>
    <t>6.1.9-013</t>
  </si>
  <si>
    <t>In the CO2 tab, it is possible to define project-specific data. In addition to the emission values for the transport, it is possible to set up a supplier-specific energy mix. Furthermore, the surcharge structure of the indirect CO2 emissions can be adjusted.</t>
  </si>
  <si>
    <t>Im Reiter CO2 besteht die Möglichkeit projektspezfische Daten zu hinterlegen. Neben den Emissionswerten für den Transport besteht die Möglichkeit einen Lieferantenspezifschen Energiemix zu hinterlegen. Desweiteren kann die Zuschlagsstruktur der indirekten CO2-Aufwände angepasst werden.</t>
  </si>
  <si>
    <t xml:space="preserve">The CO2 emissions listed in the calculation can be subdivided line-by-line or block-by-block within clusters into different groups.
Three clusters are available, which can be subdivided into any number of groups. Emissions can be assigned to several clusters (e.g. the injection molding group in the production cluster and the plastics group in the material cluster), but can only belong to one group within a cluster.
The groups are created in the 'ClusterC02' tab and the emissions are assigned to the corresponding group in the 'Calculation' tab. Via the menu [ACT - Calculation - Columns - Cluster] the cluster columns can be displayed in the tab 'Calculation'.
Cell 'B5' can be used to control how CO2 emissions are displayed. By default (the cell is empty), CO2 emissions are displayed as a tier structure across the entire calculation. 
If a supplier is selected, the CO2 emissions are displayed from the point of view of this supplier.
Additionally, there is the possibility of an evaluation on scope level. </t>
  </si>
  <si>
    <t xml:space="preserve">Die in der Kalkulation aufgeführten CO2 Emissionen lassen sich zeilen- oder blockweise innerhalb von Clustern in verschiedene Gruppen unterteilen.
Es stehen drei Cluster zur Verfügung, die in beliebig viele Gruppen unterteilt werden können. Emissionen können mehreren Clustern zugeordnet werden (bspw. der Gruppe Spritzguss im Cluster Produktion und der Gruppe Kunststoffe im Cluster Material), können innerhalb eines Clusters aber immer nur einer Gruppe angehören.
Die Gruppen werden im Reiter 'ClusterC02' angelegt und die Emissionen im Reiter 'Calculation' der entsprechenden Gruppe zugeordnet. Über das Menü [ACT - Kalkulation - Spalten - Cluster] lassen sich die Cluster-Spalten im Reiter 'Calculation' einblenden.
Über die Zelle 'B5' lässt sich steuern, wie CO2 Emissionen dargestellt werden. Standardmäßig (die Zelle ist leer) werden CO2 Emissionen über die komplette Kalkulation als Tier-Struktur dargestellt. 
Wird in ein Lieferant ausgewählt, stellen sich die CO2 Emissionen aus Sicht dieses Lieferanten dar.
Zusätzlich besteht die Möglichkeit einer Auswertung auf Scope Ebene. </t>
  </si>
  <si>
    <t>Detailinformation für Hilfe - Sheet CO2 und ClusterCO2</t>
  </si>
  <si>
    <t>6.1.9-014</t>
  </si>
  <si>
    <t>ED</t>
  </si>
  <si>
    <t>Here, the machine's power consumption is calculated using the machine's connected load and other information such as cycle time and parts per cycle.</t>
  </si>
  <si>
    <t xml:space="preserve">Hier wird mithilfe des Anschlusswertes der Maschine sowie weiterfürenden Informationen wie Zykluszeit und Teile pro Zyklus der Stromverbrauch der Maschine berechnet. </t>
  </si>
  <si>
    <t>EE</t>
  </si>
  <si>
    <t xml:space="preserve">Calculates the gas consumption of the machine using the connected load of the machine and other information such as cycle time and parts per cycle. </t>
  </si>
  <si>
    <t xml:space="preserve">Hier wird mithilfe des Anschlusswertes der Maschine sowie weiterfürenden Informationen wie Zykluszeit und Teile pro Zyklus der Gasverbrauch der Maschine berechnet. </t>
  </si>
  <si>
    <t>EF</t>
  </si>
  <si>
    <t>Machine gCO2-eq</t>
  </si>
  <si>
    <t>Maschine gCO2-eq</t>
  </si>
  <si>
    <t>EG</t>
  </si>
  <si>
    <t>Heat gCO2-eq</t>
  </si>
  <si>
    <t>Here the indirect CO2 emissions for heat are calculated.
Machine-specific indirect emissions x percentage share of heat in total emissions.
The matrix for the overhead structure can be found in the tab "CO2""</t>
  </si>
  <si>
    <t>Wärme gCO2-eq</t>
  </si>
  <si>
    <t>EH</t>
  </si>
  <si>
    <t>ind. Consumption gCO2-eq</t>
  </si>
  <si>
    <t>Here, the indirect CO2 emissions are calculated for indirect consumption
Machine-specific indirect emissions x percentage of indirect consumption in total emissions.
The matrix for the overhead structure can be found in the CO2" tab.</t>
  </si>
  <si>
    <t>ind. Verbr. gCO2-eq</t>
  </si>
  <si>
    <t>EI</t>
  </si>
  <si>
    <t>Transport gCO2-eq</t>
  </si>
  <si>
    <t>The indirect CO2 emissions for transport are calculated here
Machine-specific indirect emissions x percentage share of transport in total emissions.
The matrix for the overhead structure can be found in the "CO2" tab.</t>
  </si>
  <si>
    <t>EJ</t>
  </si>
  <si>
    <t>Office gCO2-eq</t>
  </si>
  <si>
    <t>The indirect CO2 emissions for office space are calculated here
Machine-specific indiect emissions x percentage of office space in total emissions.
The matrix for the overhead structure can be found in the "CO2" tab.</t>
  </si>
  <si>
    <t>Büro gCO2-eq</t>
  </si>
  <si>
    <t>EL</t>
  </si>
  <si>
    <t>Here the sum of the CO2 emissions of the production is calculated. 
Total manufacturing= machine gCO2-eq + overhead gCO2-eq</t>
  </si>
  <si>
    <t>Summe Fertigung gCO2-eq</t>
  </si>
  <si>
    <t>Hier wird die Summe der CO2 Emissionen der Fertigung berechnet. 
Summe Fertigung= Maschine gCO2-eq + Overhead gCO2-eq</t>
  </si>
  <si>
    <t>EM</t>
  </si>
  <si>
    <t>Factor gCO2-eq</t>
  </si>
  <si>
    <t>Shows the CO2 factor for the material used in the calculation.
Example: PP 2.87 CO₂ [kg/unit]</t>
  </si>
  <si>
    <t>Faktor gCO2-eq</t>
  </si>
  <si>
    <t>Zeigt den CO2 Faktor für das in der Kalkulation verwendete Material an.
Beispiel: PP 2,87 CO₂ [kg/Einheit]</t>
  </si>
  <si>
    <t>Rohmaterial gCO2-eq</t>
  </si>
  <si>
    <t>EO</t>
  </si>
  <si>
    <t>CO2 Fertigung gCO2-eq</t>
  </si>
  <si>
    <t>EP</t>
  </si>
  <si>
    <t>Summe Material gCO2-eq</t>
  </si>
  <si>
    <t>EQ</t>
  </si>
  <si>
    <t>CO2 Logistics gCO2-eq</t>
  </si>
  <si>
    <t>CO2 Logistik gCO2-eq</t>
  </si>
  <si>
    <t>ER</t>
  </si>
  <si>
    <t>CO2 Total gCO2-eq</t>
  </si>
  <si>
    <t>Emissionszuschlag für Fertigungsprozesse von Kaufteilen.</t>
  </si>
  <si>
    <t>Emission surcharge for manufacturing processes of purchased parts.</t>
  </si>
  <si>
    <t>Machine cost</t>
  </si>
  <si>
    <t>Machine costs incl. scrap</t>
  </si>
  <si>
    <t>"Machining cost" geändert in "Machine costs"</t>
  </si>
  <si>
    <t>6.1.9-015</t>
  </si>
  <si>
    <t>Reihenfolge englische Übersetzung LOC Kopfzeile aktualisiert - Skilled/ Unskilled mit 1/2/3 Shifts</t>
  </si>
  <si>
    <t>6.1.9-016</t>
  </si>
  <si>
    <t>EBOM</t>
  </si>
  <si>
    <t>PCB Typ</t>
  </si>
  <si>
    <t>Preis pro dm²</t>
  </si>
  <si>
    <t>Pin Dichte [pads/cm²]</t>
  </si>
  <si>
    <t>Lötzinn Verbrauch (Masse in g)</t>
  </si>
  <si>
    <t>Projekt-Faktor</t>
  </si>
  <si>
    <t>Ausnutzungsgrad (%)</t>
  </si>
  <si>
    <t>Klassifizierung</t>
  </si>
  <si>
    <t>Typ</t>
  </si>
  <si>
    <t>Bauteilbeschriftung</t>
  </si>
  <si>
    <t>Anzahl 
gesamt</t>
  </si>
  <si>
    <t>SMD/THT</t>
  </si>
  <si>
    <t>Hersteller</t>
  </si>
  <si>
    <t>Hersteller Teilenummer</t>
  </si>
  <si>
    <t>Referenz-Hersteller Teilenummer</t>
  </si>
  <si>
    <t>Anzahl der Pins</t>
  </si>
  <si>
    <t>Gehäuse / Dimension</t>
  </si>
  <si>
    <t>Einkaufsvolumen</t>
  </si>
  <si>
    <t>Toleranz</t>
  </si>
  <si>
    <t>Recherchierter Preis</t>
  </si>
  <si>
    <t>Recherche Datum</t>
  </si>
  <si>
    <t>faktorisierter Einzelpreis</t>
  </si>
  <si>
    <t>Preis Oberseite</t>
  </si>
  <si>
    <t>Preis Unterseite</t>
  </si>
  <si>
    <t>Kommentar</t>
  </si>
  <si>
    <t>Lötzinn, Pb-frei</t>
  </si>
  <si>
    <t>OBERSEITE</t>
  </si>
  <si>
    <t>Passiv</t>
  </si>
  <si>
    <t>Kondensator / Induktivität / Ferrit</t>
  </si>
  <si>
    <t>Kondensator</t>
  </si>
  <si>
    <t>SMD</t>
  </si>
  <si>
    <t>Induktivität / Ferrit</t>
  </si>
  <si>
    <t>Widerstand</t>
  </si>
  <si>
    <t>Halbleiter</t>
  </si>
  <si>
    <t>Diode / Transistor</t>
  </si>
  <si>
    <t>UNTERSEITE</t>
  </si>
  <si>
    <t>Gesamt / Summe</t>
  </si>
  <si>
    <t>THT-radial</t>
  </si>
  <si>
    <t>THT-axial</t>
  </si>
  <si>
    <t>THT-manuell</t>
  </si>
  <si>
    <t>sonstiges "Vogelfutter"</t>
  </si>
  <si>
    <t>größere Standardteile</t>
  </si>
  <si>
    <t>IC+Steckverbinder</t>
  </si>
  <si>
    <t>IC</t>
  </si>
  <si>
    <t>Steckverbinder</t>
  </si>
  <si>
    <t>Oszillator</t>
  </si>
  <si>
    <t>Elektromechanik</t>
  </si>
  <si>
    <t>Elektrolykondensator</t>
  </si>
  <si>
    <t>Optoelektronik</t>
  </si>
  <si>
    <t>Tantalkondensator</t>
  </si>
  <si>
    <t>Sensor</t>
  </si>
  <si>
    <t>Induktor</t>
  </si>
  <si>
    <t>Group</t>
  </si>
  <si>
    <t>Type</t>
  </si>
  <si>
    <t>Marking on component</t>
  </si>
  <si>
    <t>Quantity 
Top Side</t>
  </si>
  <si>
    <t>Quantity 
Total</t>
  </si>
  <si>
    <t>Manufacturer</t>
  </si>
  <si>
    <t>Manufacturer 
Part Number</t>
  </si>
  <si>
    <t>Reference 
Part Number</t>
  </si>
  <si>
    <t>No of Pins/Pads</t>
  </si>
  <si>
    <t>Package / Dimension</t>
  </si>
  <si>
    <t>Purchasing Volume</t>
  </si>
  <si>
    <t>Researched Price</t>
  </si>
  <si>
    <t>Factorized Single Price</t>
  </si>
  <si>
    <t>Price Top Side</t>
  </si>
  <si>
    <t>Price Bottom Side</t>
  </si>
  <si>
    <t>Comment</t>
  </si>
  <si>
    <t>TOP SIDE</t>
  </si>
  <si>
    <t>BOTTOM SIDE</t>
  </si>
  <si>
    <t>Annual Volume</t>
  </si>
  <si>
    <t>Total Price</t>
  </si>
  <si>
    <t>PCB type</t>
  </si>
  <si>
    <t>Price per dm²</t>
  </si>
  <si>
    <t>Pad density [pads/cm²]</t>
  </si>
  <si>
    <t>Solder tin usage (weight in g)</t>
  </si>
  <si>
    <t>Total / Sum</t>
  </si>
  <si>
    <t>Passive</t>
  </si>
  <si>
    <t>Semiconductor</t>
  </si>
  <si>
    <t>Connector</t>
  </si>
  <si>
    <t>Electromechanical</t>
  </si>
  <si>
    <t>Optoelectronic</t>
  </si>
  <si>
    <t>[andere]</t>
  </si>
  <si>
    <t>[other]</t>
  </si>
  <si>
    <t>Diode</t>
  </si>
  <si>
    <t>Transistor 3-4P</t>
  </si>
  <si>
    <t>Transistor 5-6P</t>
  </si>
  <si>
    <t>THT-manual</t>
  </si>
  <si>
    <t>Yield Rate</t>
  </si>
  <si>
    <t>other bead parts</t>
  </si>
  <si>
    <t>bigger standard components</t>
  </si>
  <si>
    <t>IC+Connectors</t>
  </si>
  <si>
    <t>Solder tin, Pb-free</t>
  </si>
  <si>
    <t>Project factor</t>
  </si>
  <si>
    <t>Search date</t>
  </si>
  <si>
    <t>Tolerance</t>
  </si>
  <si>
    <t>Capacitor / Inductance / Ferrite</t>
  </si>
  <si>
    <t>Capacitor</t>
  </si>
  <si>
    <t>Inductance / Ferrite</t>
  </si>
  <si>
    <t>Resistor</t>
  </si>
  <si>
    <t>Electrolytcapacitor</t>
  </si>
  <si>
    <t>Tantalcapacitor</t>
  </si>
  <si>
    <t>Inductor</t>
  </si>
  <si>
    <t>Oscillator</t>
  </si>
  <si>
    <t>Ausnutzungsgrad</t>
  </si>
  <si>
    <t>Begriffe der EBOM hinzugefügt</t>
  </si>
  <si>
    <t>6.1.9-017</t>
  </si>
  <si>
    <t>Erklärungen für EBOM hinzugefügt</t>
  </si>
  <si>
    <t>VBA Modul: Display</t>
  </si>
  <si>
    <t>Function DisplaySetHelp
IF-Abfrage hinzugefügt, ob es sich bei Ausgewählten Blatt um eine EBOM handelt
Wenn EBOM oder E-BOM im Namen enthalten ist, greif auf EBOM Hilfe-Texte auf Sheet Documentation zurück</t>
  </si>
  <si>
    <t>VBA Modul: Translation</t>
  </si>
  <si>
    <t>Sub TranslationInit
Hinzufügen einer Abfrage, ob es sich bei dem Blatt um eine EBOM handelt -&gt; wenn ja führe EBOM Übersetzung aus
Neues Sub: TranslateEBOM
Übersetzungslogik einer EBOM</t>
  </si>
  <si>
    <t>PCBLänge</t>
  </si>
  <si>
    <t>PCBBreite</t>
  </si>
  <si>
    <t>Flächenpreis</t>
  </si>
  <si>
    <t>PinDichte</t>
  </si>
  <si>
    <t>LötzinnVerbrauch</t>
  </si>
  <si>
    <t>SMD_THT</t>
  </si>
  <si>
    <t>Gehäuse_Dimension</t>
  </si>
  <si>
    <t>Quantity 
Bottom Side</t>
  </si>
  <si>
    <t>Anzahl 
Oberseite</t>
  </si>
  <si>
    <t>Anzahl 
Unterseite</t>
  </si>
  <si>
    <t>Hersteller 
Teilenummer</t>
  </si>
  <si>
    <t>Package_Dimension</t>
  </si>
  <si>
    <t>Yield Rate (%)</t>
  </si>
  <si>
    <t>PCBLength</t>
  </si>
  <si>
    <t>PCBWidth</t>
  </si>
  <si>
    <t>PCBType</t>
  </si>
  <si>
    <t>PCBPrice</t>
  </si>
  <si>
    <t>PinDensity</t>
  </si>
  <si>
    <t>Solder tin</t>
  </si>
  <si>
    <t>Pin Density [pads/cm²]</t>
  </si>
  <si>
    <t>Solder tin, Pb-free (mass in g)</t>
  </si>
  <si>
    <t>$C$3</t>
  </si>
  <si>
    <t>$H$3</t>
  </si>
  <si>
    <t>$J$3</t>
  </si>
  <si>
    <t>$K$3</t>
  </si>
  <si>
    <t>$L$3</t>
  </si>
  <si>
    <t>$M$3</t>
  </si>
  <si>
    <t>$N$3</t>
  </si>
  <si>
    <t>$O$3</t>
  </si>
  <si>
    <t>$T$3</t>
  </si>
  <si>
    <t>$W$3</t>
  </si>
  <si>
    <t>Die Klassifizierung des Bauteils in einer der Gruppen Passive, Halbleiter, IC, Oszillatoren, Steckverbinder, Elektromechanik, Optoelektronik, Sensor und Andere.
Klassifizeriung ist festgelegt und keine Abweichung von dieser möglich.</t>
  </si>
  <si>
    <t>Beschreibung des Bauteiltyps. Hier kann aus der Auswahl ein Wert verwendet werden oder selbst ein Bauteiltyp definiert werden. 
Die mögliche Auswahl ist lautet: Kondensator / Induktivität / Ferrit, Kondensator, Induktivität / Ferrit, Widerstand, Diode / Transistor, Elektrolykondensator, Tantalkondensator, Induktor und Oszillator.</t>
  </si>
  <si>
    <t>Die identifizierbare Bauteilbeschriftung wird hier eingetragen. Dies soll eine Zuordnung der EBOM Zeile zu der entsprechenden Komponente erleichtern.</t>
  </si>
  <si>
    <t>Die Anzahl an Komponenten, welche auf der Oberseite für ein bestimmten Bauteiltyp erkannt und gezählt wurde.</t>
  </si>
  <si>
    <t>Die Anzahl an Komponenten, welche auf der Unterseite für ein bestimmten Bauteiltyp erkannt und gezählt wurde.</t>
  </si>
  <si>
    <t>Gesamte Anzahl an Komponenten, welche auf der Oberseite und Unterseite für ein bestimmten Bauteiltyp erkannt und gezählt wurde.</t>
  </si>
  <si>
    <t>Kategorisierung, ob es sich um ein Bauteil handelt, welches per SMD- oder THT-Verfahren auf der Platine montiert wurde.
SMD = Surface mount Device (Oberflächenmontage)
THT = Through hole Technology (Durchlochmontage)</t>
  </si>
  <si>
    <t>Beschreibung des Bauteils. Hier können Informationen aus der Online-Recherche hinterlegt werden, die das Bauteil beschreiben. 
Beispielhaft können dies die Speichergröße oder die Rechenleistung eines ICs sein.</t>
  </si>
  <si>
    <t>WICHTIG: Zeile nur befüllen, wenn exakte Information für das Bauteil vorliegt! Keine Referenzkomponente hier notieren!
Hersteller der Bauteilkomponente.</t>
  </si>
  <si>
    <t>WICHTIG: Zeile nur befüllen, wenn exakte Information für das Bauteil vorliegt! Keine Referenzkomponente hier notieren!
Teilnenummer der Bauteilkomponente.</t>
  </si>
  <si>
    <t>Falls exakte Komponente nicht in der Recherche gefunden werden konnte, aber auf Basis vorliegender Informationen eine Referenz ausgewählt werden konnte, wird die Teilenummer der Referenz hier eingetragen.</t>
  </si>
  <si>
    <t>Anzahl der Pins der Komponente oder Anzahl der Verbindungspunkte zwischen Komponente und Platine.</t>
  </si>
  <si>
    <t>Gehäusetyp der Komponente. Mögliche Auswahlgrößen sind für die Standardkomponenten hinterlegt und können ausgewählt werden.
Eingabe von Länge/Breite der Komponente möglich oder des Codes für den Gehäusetyp.</t>
  </si>
  <si>
    <t>Preisquelle ist hier einzutragen. Im Falle einer Internetrecherche ist hier der Link einzutragen. Stammt der Preis aus der AWS Datenbank wird hier "Shortlist" oder "Standard" ausgewählt.
Preise aus der AWS Datenbank sind für hohe Stückzahlen hinterlegt. Eine Faktorisierung ist für diese Komponenten nicht vorgesehen (Faktor nimmt Wert 1 an)</t>
  </si>
  <si>
    <t>WICHTIG: Preisfaktorisierung beruht auf 1.000 Stk. Wenn möglich, immer Preise für eine angebotene Stückzahl von 1.000 Stk recherchieren.
Das Einkaufsvolumen, für welches die Komponente in der Internetrecherche angeboten wird. Basis für die Ermittlung des Preisfaktors.</t>
  </si>
  <si>
    <t>Grundsätzlich beruhen AWS Datenbankpreise auf eine Durchschnittliche Toleranzverteilung. Diese kann hier für die Standardkomponenten angepasst werden durch Eingabe des exakten Bauteiltoleranzwertes.</t>
  </si>
  <si>
    <t>Der Preis, welcher in der Internetrecherche gefunden wurde (Wenn möglich, immer Preise für eine angebotene Stückzahl von 1.000 Stk hier eintragen)</t>
  </si>
  <si>
    <t>Projekt-Faktor, welcher über das AWS Tool ermittelt wurde. Hängt von den Elementen Sourcing-Region, Gesamtvolumen, Firmengröße des Kunden, Branche, Projektattraktivität und Marktmacht ab.</t>
  </si>
  <si>
    <t>Degressionfaktor. Beruht auf einer Stückzahlfunktion, welche auf 1.000 Stk normiert ist.</t>
  </si>
  <si>
    <t>Multiplikation aus Projekt-Faktor, (Degressions-)Faktor und Preis</t>
  </si>
  <si>
    <t>Multiplikation aus Anzahl Oberseite mal den faktorisierten Preis</t>
  </si>
  <si>
    <t>Multiplikation aus Anzahl Unterseite mal den faktorisierten Preis</t>
  </si>
  <si>
    <t>Summe aus Preis Oberseite und Unterseite.</t>
  </si>
  <si>
    <t>Das Datum, an welchem der Preis recherchiert wurde.</t>
  </si>
  <si>
    <t>Kommentar, welcher hinterlegt werden kann. Hier sollte zum Beispiel erklärt werden, warum eine Referenzkomponente ausgewählt wurde.</t>
  </si>
  <si>
    <t>The classification of the component in one of the groups Passive, Semiconductor, IC, Oscillator, Connector, Electromechanical, Optoelectronic, Sensor and Other.
Classification is fixed and no deviation from it is possible.</t>
  </si>
  <si>
    <t>Description of the component type. Here you can use a value from the selection or define a component type yourself. 
The possible selection is: capacitor / inductor / ferrite, capacitor, inductor / ferrite, resistor, diode / transistor, electrolytic capacitor, tantalum capacitor, inductor and oscillator.</t>
  </si>
  <si>
    <t>The identifiable component label is entered here. This is to facilitate an assignment of the EBOM line to the corresponding component.</t>
  </si>
  <si>
    <t>The number of components identified and counted on the top for a given component type.</t>
  </si>
  <si>
    <t>The number of components that have been detected and counted on the bottom side for a specific component type.</t>
  </si>
  <si>
    <t>Total number of components detected and counted on the top and bottom for a given part type.</t>
  </si>
  <si>
    <t xml:space="preserve"> Categorization whether the component was mounted on the board by SMD or THT method.
SMD = Surface mount Device (Surface mount)
THT = Through hole Technology (through hole mounting).</t>
  </si>
  <si>
    <t>Description of the component. Information from the online search can be stored here that describes the component. 
For example, this can be the memory size or the computing power of an IC.</t>
  </si>
  <si>
    <t>IMPORTANT: Only fill in the line if exact information is available for the component! Do not write down a reference component here!
Manufacturer of the component part.</t>
  </si>
  <si>
    <t>IMPORTANT: Fill in line only if exact information for the component is available! Do not enter a reference component here!
Part number of the component.</t>
  </si>
  <si>
    <t>If exact component could not be found in the search, but a reference could be selected based on available information, the part number of the reference is entered here.</t>
  </si>
  <si>
    <t>Number of pins of the component or number of connection points between component and board.</t>
  </si>
  <si>
    <t xml:space="preserve"> Package type of the component. Possible selection sizes are stored for the standard components and can be selected.
Input of length/width of the component possible or the code for the package type.</t>
  </si>
  <si>
    <t>Price source is to be entered here. In case of internet research, the link is to be entered here. If the price comes from the AWS database, "Shortlist" or "Standard" is selected here.
Prices from the AWS database are stored for high quantities. Factorization is not provided for these components (factor takes value 1)</t>
  </si>
  <si>
    <t>IMPORTANT: Price factorization is based on 1,000 pcs. If possible, always research prices for an offered quantity of 1,000 pcs.
The purchase volume for which the component is offered in the Internet search. Basis for determining the price factor.</t>
  </si>
  <si>
    <t>Basically, AWS database prices are based on an average tolerance distribution. This can be adjusted here for the standard components by entering the exact component tolerance value.</t>
  </si>
  <si>
    <t>The price found in the internet search (If possible, always enter prices for an offered quantity of 1,000 pcs here).</t>
  </si>
  <si>
    <t>The date when the price was researched.</t>
  </si>
  <si>
    <t>Project factor, which was determined via the AWS tool. Depends on the elements sourcing region, total volume, company size of the customer, industry, project attractiveness and market power.</t>
  </si>
  <si>
    <t>Degression Factor. Based on a unit count function normalized to 1,000 pcs.</t>
  </si>
  <si>
    <t>Multiplication of project factor, (degression) factor and price.</t>
  </si>
  <si>
    <t>Multiplication of number of topsides times the factorized price.</t>
  </si>
  <si>
    <t>Multiplication of number of bottom side times the factorized price</t>
  </si>
  <si>
    <t>Sum of price top side and bottom side.</t>
  </si>
  <si>
    <t>Comment, which can be deposited. Here, for example, it should be explained why a reference component was selected.</t>
  </si>
  <si>
    <t>Gesamtpreis aller Komponenten aus der EBOM (Ober- und Unterseite). Auf diese Zelle wird der Materialpreis auf dem Blatt "MAT" verknüpft.</t>
  </si>
  <si>
    <t>Volumen, auf welches die Faktorisierung basiert. Kann auf die Stückzahl des entsprechenden Lieferanten auf dem Blatt Prämissen verknüpft werden.</t>
  </si>
  <si>
    <t>Länge der Platine in mm.</t>
  </si>
  <si>
    <t>Breite der Platine in mm.</t>
  </si>
  <si>
    <t>Typ der Platine. Handelt es sich um eine Standard Platine, um eine Alu-Kern Platine oder um eine Platine mit hoher Dichte (High Density Interconnect Board - HDI)</t>
  </si>
  <si>
    <t>Flächen Preis, welcher aus der AWS Datenbank stammt. Berechnung der Platinenkosten ohne Bestückung. Abhängig von der Kupferlagen-Anzahl.</t>
  </si>
  <si>
    <t>Errechneter Wert, welcher basiert auf der Fläche der Platine und der Anzahl an Lötkontakten (Spalte Anzahl der Pins multipliziert mit der Anzahl an Komponenten).</t>
  </si>
  <si>
    <t>Annahme für die Lötverbindung: jeweils 1mm für Länge und Breite. Dicke der Lötverbindung 0,2mm.
Dichte Lötstoff ist 8,4.
Errechneter Wert, welcher basiert auf den Annahmen, der Fläche der Platine und der Anzahl an Lötkontakten (Spalte Anzahl der Pins multipliziert mit der Anzahl an Komponenten).</t>
  </si>
  <si>
    <t>Zentrale Eingabe für den Projekt-Faktor.</t>
  </si>
  <si>
    <t>Prozentuale Ausnutzungsrate. Berücksichtigung des Verschnitt, der bei der Herstellung der Platine anfällt. Wird über den AWS Schnellrechner ermittelt.</t>
  </si>
  <si>
    <t>Total price of all components from the EBOM (top and bottom). To this cell is linked the material price on the sheet "MAT".</t>
  </si>
  <si>
    <t>Volume on which the factorization is based. Can be linked to the number of pieces of the corresponding supplier on the Premises sheet.</t>
  </si>
  <si>
    <t>Length of the board in mm.</t>
  </si>
  <si>
    <t>Width of the blank in mm.</t>
  </si>
  <si>
    <t>Type of the board. Is it a standard board, an aluminum core board or a high density interconnect board (HDI)?</t>
  </si>
  <si>
    <t>Area price, which is taken from the AWS database. Calculation of board cost without assembly. Depends on the number of copper layers.</t>
  </si>
  <si>
    <t>Calculated value, which is based on the area of the board and the number of solder contacts (column number of pins multiplied by the number of components).</t>
  </si>
  <si>
    <t xml:space="preserve"> Assumption for the solder joint: 1mm each for length and width. Thickness of the solder joint 0.2mm.
Density of solder is 8.4.
Calculated value, which is based on the assumptions, the area of the board and the number of solder contacts (column number of pins multiplied by the number of components).</t>
  </si>
  <si>
    <t>Central input for the project factor.</t>
  </si>
  <si>
    <t>Percentage utilization rate. Consideration of waste generated in the manufacture of the board. Determined via the AWS quick calculator.</t>
  </si>
  <si>
    <t>VBA Modul: Premisses</t>
  </si>
  <si>
    <t>Function PremisesAddNewSupplier, Suche der Endposition ("x") in Zeile 6 statt 5
Hinzufügen "x" auf Blatt MHR in Endposition Zeile 6</t>
  </si>
  <si>
    <t>6.1.9-018</t>
  </si>
  <si>
    <t>btnRefreshCO2SourceClusterAnalysis</t>
  </si>
  <si>
    <t>CO2UpdateClusterCO2ScenariosFormula</t>
  </si>
  <si>
    <t>Refresh link to Calculation</t>
  </si>
  <si>
    <t>Aktualisiere Verknüpfung zu Kalkulation</t>
  </si>
  <si>
    <t>Refresh link to calculation in CO2 Cluster</t>
  </si>
  <si>
    <t>Updates the link of all cells in the sheet CO2 Cluster and deposits in them the currently relevant range in the calculation.</t>
  </si>
  <si>
    <t>Link zur Kalkulation im CO2-Cluster aktualisieren</t>
  </si>
  <si>
    <t>Aktualisiert die Verknüpfung aller Zellen im Blatt CO2 Cluster und hinterlegt in diesen den aktuell relevanten Bereich in der Kalkulation.</t>
  </si>
  <si>
    <t>Hinzufügen Knopfbeschriftung CO2 Update Kalkulationsbereich</t>
  </si>
  <si>
    <t>6.1.9-019</t>
  </si>
  <si>
    <t>Hinzufügen Dokumentation für Beschreibung Logistik-Emissionen und Scope 1-3</t>
  </si>
  <si>
    <t>Absoulte Zuordnung je Scope</t>
  </si>
  <si>
    <t>ScopeMasch.</t>
  </si>
  <si>
    <t>ScopeWärme</t>
  </si>
  <si>
    <t>Scope_indVerb</t>
  </si>
  <si>
    <t>ScopeTrans.</t>
  </si>
  <si>
    <t>ScopeBüro</t>
  </si>
  <si>
    <t>Scope ∑ FOH</t>
  </si>
  <si>
    <t>Scope ∑ Fert.</t>
  </si>
  <si>
    <t>Scope Dmat</t>
  </si>
  <si>
    <t>Scope Fert. Z.</t>
  </si>
  <si>
    <t>Scope ∑ Mat.</t>
  </si>
  <si>
    <t>Scope Log.</t>
  </si>
  <si>
    <t>ScopeTotal</t>
  </si>
  <si>
    <t>ScopeTotalTier2</t>
  </si>
  <si>
    <t>ScopeTotalTier1</t>
  </si>
  <si>
    <t>ScopeSum</t>
  </si>
  <si>
    <t>Emissions generated for transporting goods between suppliers. Based on distance, required means of transport and weight of the component.
IMPORTANT: exWorks in case of the Tier-1 supplier, i.e. all emissions for logistics are attributed to the supplier supplied.</t>
  </si>
  <si>
    <t>Emissionen, die für den Transport der Ware zwischen den Lieferanten entsteht. Basierend auf Strecke, benötigtes Transportmittel und Gewicht des Bauteils.
WICHTIG: Annahme von exWorks im Falle des (Vor-)Lieferanten, d.h. alle Emissionen für die Logistik werden dem belieferten Lieferanten zugerechnet.</t>
  </si>
  <si>
    <t>Logistics emissions</t>
  </si>
  <si>
    <t>Logistik-Emissionen</t>
  </si>
  <si>
    <t>Emissions Scope Description</t>
  </si>
  <si>
    <t>Emissions Scope Erklärung</t>
  </si>
  <si>
    <t>Ribbon Code Bereich CO2</t>
  </si>
  <si>
    <t>Weiteren Knopf hinzugefügt, um CO2 Cluster an Kalkulation anzupassen</t>
  </si>
  <si>
    <t>XML Module</t>
  </si>
  <si>
    <t>GetVisible - Sichtbarkeit Knopf CO2 Cluster Anpassung Kalk hinzugefügt
OnActionButton - Verknüpfung zu Knopf hergestellt (btnRefreshCO2SourceClusterAnalysis)</t>
  </si>
  <si>
    <t>Übertrag MGK &amp; RFGK; wenn Wert 0 als Prämisse eingetragen, dann übertrage "", sonst übertrage den Eingegeben RFGK/MGK Wert in Kalkulation</t>
  </si>
  <si>
    <t>6.1.9-020</t>
  </si>
  <si>
    <t>Tier 2 Emissionen</t>
  </si>
  <si>
    <t>Tier 2 emissions</t>
  </si>
  <si>
    <t>Tier 1 emissions</t>
  </si>
  <si>
    <t>Tier 1 Emissionen</t>
  </si>
  <si>
    <t>TotalTier2</t>
  </si>
  <si>
    <t>TotalTier1</t>
  </si>
  <si>
    <t>Hinzufügen Dokumentation für Beschreibung der Tier-1 und Tier-2 Emissionen</t>
  </si>
  <si>
    <t>6.1.9-021</t>
  </si>
  <si>
    <t>Alle Emissionen, welche in der 2ten Tierstufe für die Fertigung und für den Materialeinsatz des Teils verursacht werden.
WICHTIG: Annahme von exWorks im Falle des Tier-2 Lieferanten, d.h. alle Emissionen für die Logistik (von Tierstufe 2 zu 1) werden von dem belieferten Lieferanten (Tier 1) getragen.
WICHTIG: Wenn ein Teil in der 2ten Tierstufe gefertigt wird und in der ersten Tierstufe ohne Bearbeitung anschließend nur weitergegeben wird (z.B. 3-2-1), werden die gesamten Logistik-Emissionen der 1ten Tierstufe zugerechnet.</t>
  </si>
  <si>
    <t>Alle Emissionen, welche in der 1ten Tierstufe verursacht werden sowie die Logistik-Emissionen, welche entstehen, wenn das Teil von der zweiten zu der ersten Tierstufe transportiert wird.
WICHTIG: Wenn ein Teil in der 2ten Tierstufe gefertigt wird und in der ersten Tierstufe ohne Bearbeitung anschließend nur weitergegeben wird (z.B. 3-2-1), werden die gesamten Logistik-Emissionen der 1ten Tierstufe zugerechnet.</t>
  </si>
  <si>
    <t>All emissions caused in the 2nd tier for the manufacturing and for the material use of the part.
IMPORTANT: Acceptance of exWorks in case of Tier 2 supplier, i.e. all emissions for logistics (from Tier 2 to 1) are borne by the supplied supplier (Tier 1).
IMPORTANT: If a part is manufactured in Tier 2 and is subsequently just passed on in Tier 1 without processing (e.g. 3-2-1), all logistics emissions are attributed to Tier 1.</t>
  </si>
  <si>
    <t>All emissions generated in the 1st tier plus the logistics emissions generated when the part is transported from the 2nd tier to the 1st tier.
IMPORTANT: If a part is manufactured in the 2nd tier and then only passed on in the 1st tier without processing (e.g. 3-2-1), the total logistics emissions are attributed to the 1st tier.</t>
  </si>
  <si>
    <t>Pfad POT</t>
  </si>
  <si>
    <t>Default-Pfad POT</t>
  </si>
  <si>
    <t>Hinzugefügt Parameter  8005, 8015 &amp; 8033 für AWS Potentialdatenbank</t>
  </si>
  <si>
    <t>6.1.9-022</t>
  </si>
  <si>
    <t>AssemblyData</t>
  </si>
  <si>
    <t>Anpassen Assembly-Datenbank bzgl. MTM-Codes</t>
  </si>
  <si>
    <t>6.1.9-023</t>
  </si>
  <si>
    <t>AssemblyTemplate</t>
  </si>
  <si>
    <t>Entfernen von Detail-Spalten Zykluszeit
Hinzufügen Worksheet_Change Makro, welches Zeiten einfügt, falls ACT-X aktiv ist</t>
  </si>
  <si>
    <t>VBA Modul: Assembly</t>
  </si>
  <si>
    <t>Hinzufügen der Logik um Zeiten ein Assembly-Sheet (A-Sheet) einzufügen</t>
  </si>
  <si>
    <t>Anpassung Formel Errechnung MSS. Hinzugefügt, dass die tatsächlichen Nutzungsstunden berücksichtigt werden, wenn die Auswahl SpezBEMI getätigt wurde</t>
  </si>
  <si>
    <t>Verb. Mat.</t>
  </si>
  <si>
    <t>CO₂ Logistik</t>
  </si>
  <si>
    <t>Schiff</t>
  </si>
  <si>
    <t>Flugzeug</t>
  </si>
  <si>
    <t>Zug</t>
  </si>
  <si>
    <t>Transportmittel</t>
  </si>
  <si>
    <t>Means of transport</t>
  </si>
  <si>
    <t>Ship</t>
  </si>
  <si>
    <t>Train</t>
  </si>
  <si>
    <t>CO₂ Logistics</t>
  </si>
  <si>
    <t>Truck</t>
  </si>
  <si>
    <t>Übersetzung der neuen CO2 Auswertungsspalten hinzugefügt</t>
  </si>
  <si>
    <t>Erklärungen für die CO2 Auswertungsspalten hinzugefügt</t>
  </si>
  <si>
    <t>6.1.9-024</t>
  </si>
  <si>
    <t>offen</t>
  </si>
  <si>
    <t>CO2_Wä</t>
  </si>
  <si>
    <t>CO2_Ma</t>
  </si>
  <si>
    <t>CO2_i. V.</t>
  </si>
  <si>
    <t>CO2_T</t>
  </si>
  <si>
    <t>CO2_B</t>
  </si>
  <si>
    <t>CO2_OH</t>
  </si>
  <si>
    <t>CO2_Fert.</t>
  </si>
  <si>
    <t>CO2_Fak</t>
  </si>
  <si>
    <t>CO2_Mat</t>
  </si>
  <si>
    <t>CO2 MatF</t>
  </si>
  <si>
    <t>CO2_V</t>
  </si>
  <si>
    <t>CO2_Mat.</t>
  </si>
  <si>
    <t>Transportart</t>
  </si>
  <si>
    <t>6.1.9-025</t>
  </si>
  <si>
    <t>Plane</t>
  </si>
  <si>
    <t>Erweitertung der CO2 Auswertungsspalten um 
(1) Material-Emissionen: Verbrauchsmaterialien
(2) Logistik-Emissionen: Split je Transportmittel
(3) Name für Dropdown (CO2Transportarten)</t>
  </si>
  <si>
    <t>Daten-Verknüpfung zu Routes gelöscht</t>
  </si>
  <si>
    <t>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t>
  </si>
  <si>
    <t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t>
  </si>
  <si>
    <t>Korrigiert 
[s]</t>
  </si>
  <si>
    <t>Einzelzeit 
[s]</t>
  </si>
  <si>
    <t>Corrected 
[s]</t>
  </si>
  <si>
    <t>Single time 
[s]</t>
  </si>
  <si>
    <t>Gesamtzeit
[s]</t>
  </si>
  <si>
    <t>Weight 
[kg]</t>
  </si>
  <si>
    <t>Anpassung vba Modul Translation - Übersetzungsroutine für Assembly-Blätter hinzugefügt</t>
  </si>
  <si>
    <t>Anpassungen vba Modul Assembly - Offset für Spalten in Datenquelle an jeweilige Spalte (DE/EN) angepasst</t>
  </si>
  <si>
    <t>6.1.9-026</t>
  </si>
  <si>
    <t>Dropdowns angepasst, sodass Werte aus jeweiliger Sprachenspalte angezogen werden</t>
  </si>
  <si>
    <t>Transponse Spaltenbereich erweitert bis Spalte "FL"</t>
  </si>
  <si>
    <t>VBA Modul: Sync</t>
  </si>
  <si>
    <t>6.1.9-027</t>
  </si>
  <si>
    <t>ACT-P</t>
  </si>
  <si>
    <t>ACT-P (Potential calculation)</t>
  </si>
  <si>
    <t>Loads the ACT-P Addin and provides the corresponding functions.</t>
  </si>
  <si>
    <t>ACT-P (Potentialerkennung)</t>
  </si>
  <si>
    <t>Lädt das ACT-P Addin und stellt die entsprechenden Funktionen bereit.</t>
  </si>
  <si>
    <t>grpPot</t>
  </si>
  <si>
    <t>mnuPot</t>
  </si>
  <si>
    <t>btnPotAnalysis</t>
  </si>
  <si>
    <t>Potential calculation</t>
  </si>
  <si>
    <t>Potentialkalkulation</t>
  </si>
  <si>
    <t>Starten den Potentialerkennungs und -kalkulationsprozess. 
Analysiert auf Basis der gespeicherten Potentialregeln, welche dieser Regeln in der aktuell vorliegenden Kalkulation anwendbar sind und ermittelt das erreichbare Potential.</t>
  </si>
  <si>
    <t>Start the potential recognition and calculation process. 
Based on the stored potential rules, analyzes which of these rules are applicable in the currently available calculation and determines the achievable potential.</t>
  </si>
  <si>
    <t>6.1.9-028</t>
  </si>
  <si>
    <t>Implementierung der Logiken, um das ACT-P zu starten
(1) Hinterlegen der Buttons und Gruppen für ACT-P Ladevorgang sowie iniitieren des Kalkulationsprozesses
(2) Hinterlegen der Informationen zu den Buttons und Gruppen für das ACT-P im XML Blatt</t>
  </si>
  <si>
    <t>VBA Modul: XML</t>
  </si>
  <si>
    <t>Hinzufügen der Funktionalitäten für die ACT-P Knöpfe</t>
  </si>
  <si>
    <t>\\wts\02 DATA\02 WD\01 Kalkulationstools\01 Teilekosten\01 ACT\POT\</t>
  </si>
  <si>
    <t>pinitPotCalcAndDetection</t>
  </si>
  <si>
    <t>ACT-P zulassen</t>
  </si>
  <si>
    <t>cbxAddinP</t>
  </si>
  <si>
    <t>6.1.9-029</t>
  </si>
  <si>
    <t>ACT-P Mindestrating</t>
  </si>
  <si>
    <t>btnOpenPotDb</t>
  </si>
  <si>
    <t>cbxPotLearning</t>
  </si>
  <si>
    <t>Cost Down Coach</t>
  </si>
  <si>
    <t>Open Potential database</t>
  </si>
  <si>
    <t>Öffne Potential-Datenbank</t>
  </si>
  <si>
    <t>Status Rückkopplung</t>
  </si>
  <si>
    <t>Opens an overview of the available potentials for the different technologies.</t>
  </si>
  <si>
    <t>Eröffnet einen Überblick über die verfügbaren Potentiale der verschiedenen Technologien.</t>
  </si>
  <si>
    <t>Status loopback</t>
  </si>
  <si>
    <t>Erlaubt das Zurückspielen der Ergebnisse in die Potential-Datenbank.</t>
  </si>
  <si>
    <t>Allows the results to be restored to the potential database.</t>
  </si>
  <si>
    <t>Settings &amp; XML</t>
  </si>
  <si>
    <t>Hinzufügen Parameter 8035: Mindest-Rating ACT-P &amp; Vorhalten Buttons in Ribbon für ACT-P Bedienung sowie Texte XML Sheet</t>
  </si>
  <si>
    <t>ACT-P Rückkopplung ermöglichen</t>
  </si>
  <si>
    <t>Premises &amp; TemplateColumn</t>
  </si>
  <si>
    <t>Änderungen an den Formeln für die Vorschlagewerte pro Lieferanten
Arbeitstage sowie kalk. Zins wurde mit Wechselkurs multipliziert -&gt; Multiplikation entfernt</t>
  </si>
  <si>
    <t>6.1.9-030</t>
  </si>
  <si>
    <t>Formel in Spalte variable Kosten angepasst -&gt; Instandhaltung &amp; Verbrauchsmaterialien im Verhältnis zwischen 4800 Stunden (Basis) und tatsächliche Stunden je Lieferant korrigiert</t>
  </si>
  <si>
    <t>6.1.9-031</t>
  </si>
  <si>
    <t>Bug "SporadischerVBA-Fehler beim Hinzufügen eines dritten Lieferanten" behoben</t>
  </si>
  <si>
    <t>Bug-Fixing: Formel in Spalte variable Kosten angepasst -&gt; Instandhaltung &amp; Verbrauchsmaterialien im Verhältnis zwischen 4800 Stunden (Basis) und tatsächliche Stunden je Lieferant korrigiert</t>
  </si>
  <si>
    <t>6.1.9-032</t>
  </si>
  <si>
    <t>Übersetzung "Visual check" zu "Visual control"</t>
  </si>
  <si>
    <t>6.1.9-033</t>
  </si>
  <si>
    <t>Bug "Sporadischer VBA-Fehler beim Hinzufügen eines dritten Lieferanten": Nach dem zweitem erfolglosem Versuch wird das Hinzufügen rückgängig gemacht und ein Hinweis ausgegeben, es nochmal zu versuchen</t>
  </si>
  <si>
    <t>VBA: Funktionen IsAdminDomain And IsAdminOrUser hinzugefügt, PathExists angepasst</t>
  </si>
  <si>
    <t>Analysis: Fehler behoben: Werden nachträglich Änderungen in der BOM vorgenommen und Synchronisiert, wird der Analysis-Dialog nun korrekt aktualisiert</t>
  </si>
  <si>
    <t>ACT-Q: Fehler behoben: Wird in der Spalte Material Extra ein fester Wert (ohne Formel) eingetragen, führt dies nun nicht mehr zu einem VBA-Fehler</t>
  </si>
  <si>
    <t>UserForms ACT, ACT-X. ACT-Q: Funktion GetUserFormZoom hinzugefügt, Breite und Höhe fixiert</t>
  </si>
  <si>
    <t>UserForms ACT, ACT-X: Maximale Höhe auf 90 % der Bildschirmhöhe festgelegt, UserForms entsprechend angepasst</t>
  </si>
  <si>
    <t>UserForms ACT, ACT-X: Anpassen der Position gleichzeitig mit der Höhe, wenn die UserForm eingeblendet wird</t>
  </si>
  <si>
    <t>Performance</t>
  </si>
  <si>
    <t>grpPerformance</t>
  </si>
  <si>
    <t>Update formulas</t>
  </si>
  <si>
    <t>Formeln aktualisieren</t>
  </si>
  <si>
    <t>tgbPerformance1</t>
  </si>
  <si>
    <t>Formulas in rows</t>
  </si>
  <si>
    <t>Formeln in Zeilen</t>
  </si>
  <si>
    <t>For each row, only those formulas are kept that are required according to the row type.
The following row types are distinguished and automatically recognized: Process, Material, Complete (Process + Material) and Empty.
Attention: If the row type changes by filling a cell, the formulas must be updated manually.</t>
  </si>
  <si>
    <t>Für jede Zeile werden nur die Formeln vorgehalten, die entsprechend des Zeilentypes benötigt werden.
Es werden folgende Zeilentypen unterschieden und automatisch erkannt: Prozess, Material, Komplett (Prozess + Material) und Leer.
Achtung: Ändert sich durch Befüllen einer Zelle der Zeilentyp, müssen die Formeln manuell aktualisiert werden.</t>
  </si>
  <si>
    <t>tgbPerformance2</t>
  </si>
  <si>
    <t>Formulas in columns</t>
  </si>
  <si>
    <t>Formeln in Spalten</t>
  </si>
  <si>
    <t xml:space="preserve">Formulas are only kept in the columns that are visible or required according to the current settings.
If columns are shown or hidden via the menu or settings (e.g. the SGnA calculation) are modified, the formulas are updated accordingly. </t>
  </si>
  <si>
    <t xml:space="preserve">Es werden nur in den Spalten Formeln vorgehalten, die sichtbar sind oder entsprechend der aktuellen Einstellungen benötigt werden.
Werden Spalten über das Menü ein- oder ausgeblendet oder Einstellungen  (bspw. die VVGK-Berechnung) verändert, werden die Formeln entsprechend aktualisiert. </t>
  </si>
  <si>
    <t>B0</t>
  </si>
  <si>
    <t>btnCalcUpdate</t>
  </si>
  <si>
    <t>sprCalcUpdate</t>
  </si>
  <si>
    <t>6.1.9-034</t>
  </si>
  <si>
    <t>ACT Performance implementiert: Steht zunächst nur Admins zum Testen zur Verfügung</t>
  </si>
  <si>
    <t>btn_sbtCalculate</t>
  </si>
  <si>
    <t>Calculate</t>
  </si>
  <si>
    <t>btnCalculateAlt</t>
  </si>
  <si>
    <t>tgbCalculate1</t>
  </si>
  <si>
    <t>tgbCalculate2</t>
  </si>
  <si>
    <t>Calculate this workbook</t>
  </si>
  <si>
    <t>Diese Arbeitsmappe neu berechnen</t>
  </si>
  <si>
    <t>btnCalculateAll</t>
  </si>
  <si>
    <t>Calculate all workbooks</t>
  </si>
  <si>
    <t>Automatisch</t>
  </si>
  <si>
    <t>Automatisch berechnen</t>
  </si>
  <si>
    <t>Manuell berechnen</t>
  </si>
  <si>
    <t>Berechnen</t>
  </si>
  <si>
    <t>CalculateAll</t>
  </si>
  <si>
    <t>Formeln</t>
  </si>
  <si>
    <t>Formulas</t>
  </si>
  <si>
    <t>tgbCalculate3</t>
  </si>
  <si>
    <t>Automatic</t>
  </si>
  <si>
    <t>Automatic (this workbook only)</t>
  </si>
  <si>
    <t>Automatisch (nur diese Arbeitsmappe)</t>
  </si>
  <si>
    <t>Automatisch berechnen (nur diese Arbeitsmappe)</t>
  </si>
  <si>
    <t>Manual</t>
  </si>
  <si>
    <t>Calculate this workbook only</t>
  </si>
  <si>
    <t>ACT Performance Teil 2 - Berechnung: Template sheets (RowTemplate etc.) werden gar nicht, sekundäre sheets (Analysis, Cluster) nur berechnet, wenn diese eingeblendet sind. EditMode wurde entfernt und eine neue Option zur Berechnung hinzugefügt: "Automatisch (nur diese Arbeitsmappe)".</t>
  </si>
  <si>
    <t>ACT Performance Teil 1 - Formeln: je Zeile werdenje nach Zeilentyp (Produktion, Material, komplett, leer) nur benötigte Formeln vorgehalten, in ausgeblendeten Spalten werden keine Formeln vorgehalten</t>
  </si>
  <si>
    <t>Anpassungen ACT-Ribbon: Button "Edit Mode" entfernt, Gruppe "Performance" erweitert, Menü "Export" in Gruppe "Erweitert" verschoben, Gruppe "Export" aufgelöst</t>
  </si>
  <si>
    <t>UpdateCalcRows</t>
  </si>
  <si>
    <t>Synchronisiert die Struktur der BOM und der Kalkulation miteinander.
Der Pfeil oben in der Mitte (&gt; bzw. &lt;) zeigt die Richtung an, in die synchronisiert wird. Durch Klicken auf diesen wird die Richtung umgekehrt. 
In der Regel sollte die BOM den Absprung bilden und die Kalkulation entsprechend dieser aufgebaut werden (&gt;).
Die farbliche Markierung zeigt an, was mit der BOM-Zeile bzw. dem Kalkulationsblock passiert:
orange: wird gelöscht und neu erstellt
schwarz: bleibt erhalten
grün: existiert nicht und wird neu erstellt
rot: wird gelöscht
blau: wird verschoben
grau: existiert nicht und wird nicht erstellt
Durch Doppelkilck auf einzelne Zeilen kann die Synchronisation für diese umgekehrt werden (grün wird zu rot bzw. rot zu grün) oder eine bereits vorhandene Zelle zum Überschreiben markiert werden (schwarz wird zu orange).
Durch Doppelklick auf 'redo' oder 'remain' werden die selektierten Zeilen entsprechend markiert. Sind weniger als zwei Zeilen ausgewählt, werden stattdessen alle Zeilen entsprechend markiert.
Wenn Auto-Backup aktiviert ist (ist standardmäßig der Fall), wird vor jeder Synchronisation eine Sicherheitskopie erstellt.</t>
  </si>
  <si>
    <t>Synchronizes the structure of the BOM and the calculation with each other.
The arrow at the top center (&gt; or &lt;) indicates the direction in which synchronization is performed. Clicking on it reverses the direction. 
As a rule, the BOM should form the take-off and the calculation should be built up according to it (&gt;).
The color marking shows what happens to the BOM line or the calculation block:
orange: is deleted and recreated
black: remains
green: does not exist and will be created again
red: will be deleted
blue: will be moved
gray: does not exist and will not be created
By double-clicking on individual rows, the synchronization for these can be reversed (green becomes red or red becomes green) or an already existing cell can be marked for overwriting (black becomes orange).
By double-clicking on 'redo' or 'remain' selected lines will be marked accordingly. If less than two lines are selected, all lines will be marked accordingly instead.
If auto-backup is enabled (it is by default), a backup copy is created before each synchronization.</t>
  </si>
  <si>
    <t>Export: Multi-Supplier-Template: Fehler behoben, bei dem VVGK und Gewinn nicht angezeigt wurden, wenn diese für Wertschöpfung und Material getrennt betrachtet werden.</t>
  </si>
  <si>
    <t>Sync: Synchronisation kann jetzt abgebrochen werden (ohne dass die Kalkulation Schaden nimmt), UserForm öffnet sich deutlich schneller, Synchronisation läuft für große Kalkulationen deutlich schneller</t>
  </si>
  <si>
    <t>Row type</t>
  </si>
  <si>
    <t>CalculateThisWorkbookOnlyCallback</t>
  </si>
  <si>
    <t>mnuPerformance</t>
  </si>
  <si>
    <t>btnPerformanceUpdate</t>
  </si>
  <si>
    <t>tgbPerformance3</t>
  </si>
  <si>
    <t>tgbPerformance21</t>
  </si>
  <si>
    <t>tgbPerformance22</t>
  </si>
  <si>
    <t>Alle Formeln</t>
  </si>
  <si>
    <t>Keine Formeln</t>
  </si>
  <si>
    <t>mnuPerformance2</t>
  </si>
  <si>
    <t>Nur notwendige Formeln</t>
  </si>
  <si>
    <t>All formulas</t>
  </si>
  <si>
    <t>No Formulas</t>
  </si>
  <si>
    <t>Only necessary formulas</t>
  </si>
  <si>
    <t>Calculation: Nur notwendige Formeln: Zeilen</t>
  </si>
  <si>
    <t>Calculation: Nur notwendige Formeln: Spalten</t>
  </si>
  <si>
    <t>Calculation: Formeln (A= alle Formeln, B = nur notwendige Formeln, C = keine Formeln)</t>
  </si>
  <si>
    <t>Es werden nur notwendige Formeln vorgehalten.
Für jede Zeile werden nur die Formeln vorgehalten, die entsprechend des Zeilentypes benötigt werden.
Es werden nur in den Spalten Formeln vorgehalten, die sichtbar sind oder entsprechend der aktuellen Einstellungen benötigt werden.
Achtung: Bei sehr großen Kalkulationen kann der Wechsel in diesen Modus einige Zeit in Anspruch nehmen!</t>
  </si>
  <si>
    <t>Sämtliche Formeln in den Formelzellen (grau) der Kalkulation werden entfernt. Von Hand eingetragene Werte und Formeln (weiße Zellen) bleiben erhalten.
Dadurch wird das Einfügen und Entfernen von Zeilen sowie das Befüllen der Kalkulation deutlich beschleunigt.
Achtung: Bei sehr großen Kalkulationen kann der Wechsel in diesen Modus einige Zeit in Anspruch nehmen!</t>
  </si>
  <si>
    <t>Sämtliche Formeln in Zeilen und Spalten werden vorgehalten.
Achtung: Bei sehr großen Kalkulationen kann der Wechsel in diesen Modus einige Zeit in Anspruch nehmen!</t>
  </si>
  <si>
    <t>Alles neu berechnen</t>
  </si>
  <si>
    <t>Alles und alle Arbeitsmappen neu berechnen</t>
  </si>
  <si>
    <t>Calculate everything and all workbooks</t>
  </si>
  <si>
    <t>Berechnet nur diese Arbeitsmappe neu.
Ausgehend vom aktiven Arbeitsblatt werden nur die Arbeitsblätter neu berechnet, die gemäß der Kalkulationslogik berechnet werden müssen.
Achtung: Bei abweichender individueller Logik kann es vorkommen, dass nicht alle Änderungen korrekt berechnet werden. Dies kann aber jederzeit über den Button "Alles neu berechnen" nachgeholt werden.</t>
  </si>
  <si>
    <t>Berechnet sämtliche offene Arbeitsmappen und sämtliche Arbeitsblätter neu.
Diese Funktion entspricht der Funkktion "Neu berechnen (F9)" im Reiter Daten.
Achtung: Bei sehr großen Kalkulationen kann dies einige Zeit in Anspruch nehmen!</t>
  </si>
  <si>
    <t>btnPicMoveToSubfolder</t>
  </si>
  <si>
    <t>PicturesMoveToSubfolder</t>
  </si>
  <si>
    <t>Move unused pictures to subfolder</t>
  </si>
  <si>
    <t>Unbenutze Bilder in Unterordner verschieben</t>
  </si>
  <si>
    <t>gCO₂eq/Eh</t>
  </si>
  <si>
    <t>gCO₂eq/Ut</t>
  </si>
  <si>
    <t>Verschiebt alle Bilder, die keinem Bauteil zugeordnet sind, in einen Unterordner innerhalb des Bilderordners.
Der Unterordner kann im Anschluss umbenannt werden.</t>
  </si>
  <si>
    <t>Moves all images that are not assigned to a component to a subfolder within the image folder.
The subfolder can be renamed afterwards.</t>
  </si>
  <si>
    <t>Reset folder path</t>
  </si>
  <si>
    <t>Change folder path</t>
  </si>
  <si>
    <t>Formel Auslastung und Formel Berechnung Stunden angepasst für Produkt Spez. (wenn mehrere Anlagen notwendig)</t>
  </si>
  <si>
    <t>Altuntas, Eray, Dünzl Dennis</t>
  </si>
  <si>
    <t>\\wts\02 DATA\02 WD\03 Materialdaten\</t>
  </si>
  <si>
    <t>Pfad Materialdatenbanken + Materialpreisrechner</t>
  </si>
  <si>
    <t>Zirkelbezug behoben</t>
  </si>
  <si>
    <t>6.2.1-000</t>
  </si>
  <si>
    <t>eray.altuntas@aws-ce.com</t>
  </si>
  <si>
    <t>dummy</t>
  </si>
  <si>
    <t>ExportToCbdInit</t>
  </si>
  <si>
    <t>btnExportToQaf</t>
  </si>
  <si>
    <t>ExportToQafInit</t>
  </si>
  <si>
    <t>Export to QAF …</t>
  </si>
  <si>
    <t>In QAF exportieren …</t>
  </si>
  <si>
    <t>btnExportToCbd</t>
  </si>
  <si>
    <t>$FJ:$FL</t>
  </si>
  <si>
    <t>Here, the total energy consumption for machine use is determined by adding the results from the calculations of electricity consumption and gas consumption. The direct CO2 emissions for the component are then calculated using the country-specific electricity emission factor.</t>
  </si>
  <si>
    <t>Hier wird der Gesamtenergieverbrauch für den Maschineneinsatz ermittelt, indem die Ergebnisse aus den Berechnungen des Stromverbrauchs und des Gasverbrauchs addiert werden. Anschließend wird mithilfe des länderspezifischen Strom-Emissionsfaktors der direkte CO2-Ausstoß für das Bauteil berechnet.</t>
  </si>
  <si>
    <t>Hier werden die indirekten CO2 Emissionen für Wärme berechnet
Maschinenspezifische indirekten Emissionen x prozentualer Anteil Wärme an Gesamtemissionen
Die Matrix zur Overhead-Struktur findet man im Reiter "CO2"</t>
  </si>
  <si>
    <t>Hier werden die indirekten CO2 Emissionen für den indirekten Verbrauch berechnet
Maschinenspezifische indirekten Emissionen x prozentualer Anteil indirekter Verbrauch an Gesamtemissionen
Die Matrix zur Overhead-Struktur findet man im Reiter "CO2"</t>
  </si>
  <si>
    <t>Hier werden die indirekten CO2 Emissionen für den Transport berechnet
Maschinenspezifische indirekten Emissionen x prozentualer Anteil Transport an Gesamtemissionen
Die Matrix zur Overhead-Struktur findet man im Reiter "CO2"</t>
  </si>
  <si>
    <t>Hier werden die indirekten CO2 Emissionen für Büroflächen berechnet
Maschinenspezifische indirekten Emissionen x prozentualer Anteil Büroflächen an Gesamtemissionen
Die Matrix zur Overhead-Struktur findet man im Reiter "CO2"</t>
  </si>
  <si>
    <t>Total Overhead gCO2-eq</t>
  </si>
  <si>
    <t>The total sum of indirect CO2 emissions is determined here. This total sum results from the addition of the indirect CO2 emissions for heat, indirect consumption, transport and office space.</t>
  </si>
  <si>
    <t>Summe Overhead gCO2-eq</t>
  </si>
  <si>
    <t xml:space="preserve">Hier wird die Gesamtsumme der indirekten CO2-Emissionen ermittelt. Diese Gesamtsumme ergibt sich aus der Addition der indirekten CO2-Emissionen für Wärme, den indirekten Verbrauch, den Transport und Büroflächen.
</t>
  </si>
  <si>
    <t>The CO2 value for the material used is calculated here. The basis for this is the material weight stored in the "Calculation" tab and the CO2 value for the material from our material database.</t>
  </si>
  <si>
    <t>Hier wird der CO2-Wert für das verwendete Material berechnet. Grundlage hierfür ist das im Reiter "Calculation" hinterlegte Materialgewicht sowie der CO2-Wert für das Material aus unserer Material-Datenbank.</t>
  </si>
  <si>
    <t>Emission surcharge for consumables.</t>
  </si>
  <si>
    <t xml:space="preserve">Emissionszuschlag für Verbauchsmaterialien. </t>
  </si>
  <si>
    <t>Total Material gCO2-eq</t>
  </si>
  <si>
    <t>The sum of the total emissions of the material is displayed here, which results from the addition of the CO2 values for the material used in the calculation, the emission surcharges for manufacturing processes of purchased parts and the emission surcharges for consumables.</t>
  </si>
  <si>
    <t>Hier wird die Summe der Gesamtemissionen des Materials angezeigt, die sich aus der Addition der CO2-Werte für das in der Kalkulation verwendete Material, den Emissionszuschlägen für Fertigungsprozesse von Kaufteilen und den Emissionszuschlägen für Verbrauchsmaterialien ergibt.</t>
  </si>
  <si>
    <t>Transportation</t>
  </si>
  <si>
    <t>Here, the emissions incurred for logistics are calculated. The basis for this is the distance between the coordinates stored for the suppliers involved in the 'Premises' tab.
If the transport takes place by sea due to the long distance, the distance to and from the port is also taken into account.
The premises on which the calculation is based are determined via the newly added tab 'CO₂' or supplier-specific via the tab 'Premises'.</t>
  </si>
  <si>
    <t>Hier werden die für die Logistik anfallenden Emissionen berechnet. Grundlage hierfür ist  die Entfernung zwischen den für die beteiligten Lieferanten im Reiter 'Premises' hinterlegten Koordinaten.
Erfolgt der Transport aufgrund der großen Entfernung über den Seeweg, wird zusätzlich die Strecke zum und vom Hafen berücksichtigt.
Die Prämissen, die der Berechnung zugrunde liegen, werden über den neu hinzugefügten Reiter 'CO₂' bzw. lieferantenspezifisch über den Reiter 'Premises' bestimmt.</t>
  </si>
  <si>
    <t>ES</t>
  </si>
  <si>
    <t xml:space="preserve">Hier werden die CO2 Emissionen für das Transportmittel LKW berechnet. 
Grundlage ist die zurückgelegte Strecke, Kraftstoff und Verbauch sowie der zugehörige CO2e Wert. </t>
  </si>
  <si>
    <t>ET</t>
  </si>
  <si>
    <t xml:space="preserve">Hier werden die CO2 Emissionen für das Transportmittel Schiff berechnet. 
Grundlage ist die zurückgelegte Strecke, Kraftstoff und Verbrauch sowie der zugehörige CO2e Wert. </t>
  </si>
  <si>
    <t>EU</t>
  </si>
  <si>
    <t>EV</t>
  </si>
  <si>
    <t>EW</t>
  </si>
  <si>
    <t>The total sum of emissions for the logistics sector is displayed here. This total results from the addition of the CO2 emissions for the means of transport truck, ship, plane and train.</t>
  </si>
  <si>
    <t>Hier wird die Gesamtsumme der Emissionen für den Logistikbereich angezeigt. Diese Summe ergibt sich aus der Addition der CO2-Emissionen für die Transportmittel LKW, Schiff, Flugzeug und Zug.</t>
  </si>
  <si>
    <t>EX</t>
  </si>
  <si>
    <t>This is the total sum of emissions caused for the product. This sum is obtained by adding up all the results from the previous steps.</t>
  </si>
  <si>
    <t>Hierbei handelt es sich um die Gesamtsumme der Emissionen, die für das Produkt verursacht werden. Diese Summe ergibt sich durch die Addition aller Ergebnisse aus den vorherigen Schritten.</t>
  </si>
  <si>
    <t>Raw Material gCO2-eq</t>
  </si>
  <si>
    <t>Total Manufacturing gCO2-eq</t>
  </si>
  <si>
    <t xml:space="preserve">CO2 Manufacturing gCO2-eq </t>
  </si>
  <si>
    <t>Consum. Material gCO2-eq</t>
  </si>
  <si>
    <t>Verb. Material gCO2-eq</t>
  </si>
  <si>
    <t>Truck gCO2-eq</t>
  </si>
  <si>
    <t>Ship gCO2-eq</t>
  </si>
  <si>
    <t>Airplane gCO2-eq</t>
  </si>
  <si>
    <t>Train gCO2-eq</t>
  </si>
  <si>
    <t>LKW gCO2-eq</t>
  </si>
  <si>
    <t>Schiff gCO2-eq</t>
  </si>
  <si>
    <t>Flugzeug gCO2-eq</t>
  </si>
  <si>
    <t>Zug gCO2-eq</t>
  </si>
  <si>
    <t>Dcumentation</t>
  </si>
  <si>
    <t>Hilfetext für CO2 angepasst bzw. ergänzt</t>
  </si>
  <si>
    <t>Altuntas, Eray</t>
  </si>
  <si>
    <t>Energy Consumption</t>
  </si>
  <si>
    <t>CO2 Logistic</t>
  </si>
  <si>
    <t>CO2 Logistik</t>
  </si>
  <si>
    <t>Here, the CO2 emissions for the means of transport truck are calculated. 
The basis is the distance traveled, fuel and the associated CO2e value.</t>
  </si>
  <si>
    <t>Here, the CO2 emissions for the means of transport ship are calculated. 
The basis is the distance traveled, fuel and the associated CO2e value.</t>
  </si>
  <si>
    <t>Here, the CO2 emissions for the means of transport airplane are calculated. 
The basis is the distance traveled, fuel and the associated CO2e value.</t>
  </si>
  <si>
    <t xml:space="preserve">Hier werden die CO2 Emissionen für das Transportmittel Flugzeug berechnet. 
Grundlage ist die zurückgelegte Strecke, Kraftstoff und der zugehörige CO2e Wert. </t>
  </si>
  <si>
    <t>Here, the CO2 emissions for the means of transport train are calculated. 
The basis is the distance traveled, fuel and the associated CO2e value.</t>
  </si>
  <si>
    <t xml:space="preserve">Hier werden die CO2 Emissionen für das Transportmittel Zug berechnet. 
Grundlage ist die zurückgelegte Strecke, Kraftstoff und Verbrauch sowie der zugehörige CO2e Wert. </t>
  </si>
  <si>
    <t>dennis.duenzl;eray.altuntas;max;mknoll</t>
  </si>
  <si>
    <t>btnSheetsVisibility</t>
  </si>
  <si>
    <t>Worksheets</t>
  </si>
  <si>
    <t>Arbeitsblätter</t>
  </si>
  <si>
    <t xml:space="preserve">Worksheets visibility </t>
  </si>
  <si>
    <t>Sichtbarkeit Arbeitsblätter</t>
  </si>
  <si>
    <t>SheetsVisibilityInit</t>
  </si>
  <si>
    <t>C:\Users\Max\Pictures\Test</t>
  </si>
  <si>
    <t>btnPic</t>
  </si>
  <si>
    <t>btnPicC</t>
  </si>
  <si>
    <t>tgbPicC</t>
  </si>
  <si>
    <t>btnPicP</t>
  </si>
  <si>
    <t>btnPicCOpenFolder</t>
  </si>
  <si>
    <t>Log:2+IndirectCosts:0+Handling:0+TemplateColumn:2+TemplateRow:2+Temp:2+Documentation:2+Translation:2+Tutorial:2+XML:0+AssemblyData:2+AssemblyTemplate:2+Settings:0+</t>
  </si>
  <si>
    <t>Standard</t>
  </si>
  <si>
    <t>PCB</t>
  </si>
  <si>
    <t>SMD-Config</t>
  </si>
  <si>
    <t>hide</t>
  </si>
  <si>
    <t>--- do not delete ---</t>
  </si>
  <si>
    <t>Class</t>
  </si>
  <si>
    <t>0402</t>
  </si>
  <si>
    <t>DO-214AA / SMB</t>
  </si>
  <si>
    <t>0603</t>
  </si>
  <si>
    <t>DO-214AB / SMC</t>
  </si>
  <si>
    <t>0805</t>
  </si>
  <si>
    <t>DO-214AC / SMA</t>
  </si>
  <si>
    <t>1206</t>
  </si>
  <si>
    <t>DO-219AB / SMF</t>
  </si>
  <si>
    <t>1210</t>
  </si>
  <si>
    <t>SOD-123</t>
  </si>
  <si>
    <t>2010</t>
  </si>
  <si>
    <t>SOD-323</t>
  </si>
  <si>
    <t>2512</t>
  </si>
  <si>
    <t>SOT-223</t>
  </si>
  <si>
    <t>SOT-23</t>
  </si>
  <si>
    <t>Andere</t>
  </si>
  <si>
    <t>SOT-23-3</t>
  </si>
  <si>
    <t>SOT-23-5</t>
  </si>
  <si>
    <t>SOT-23-6</t>
  </si>
  <si>
    <t>SOT-323</t>
  </si>
  <si>
    <t>SOT-363</t>
  </si>
  <si>
    <t>Apollo High PCB UI</t>
  </si>
  <si>
    <t>PCB UI</t>
  </si>
  <si>
    <t>PCB Main UI</t>
  </si>
  <si>
    <t>Category CO2 Overhead</t>
  </si>
  <si>
    <t>China</t>
  </si>
  <si>
    <t>Industrie</t>
  </si>
  <si>
    <t>CNY</t>
  </si>
  <si>
    <t>SEA</t>
  </si>
  <si>
    <t>China8,9612,68,9612,69,4113,2300,0517,88Industrie3,030,070,023,7CNY300SEA31,440387114,919747251,131910,5893479,51411,6666666666667244523041,519,50,64620,00140,03330,04640,0540,17310,02980,0158002525</t>
  </si>
  <si>
    <t>16.05.2024</t>
  </si>
  <si>
    <t>Supercapacitor</t>
  </si>
  <si>
    <t>(11,5 x 11,5 x 8) mm</t>
  </si>
  <si>
    <t>https://www.mouser.de/ProductDetail/KEMET/FTW0H104ZF?qs=BenOyfdfAroXthSCIh%2FcSA%3D%3D</t>
  </si>
  <si>
    <t>FT 5.5 V
85°C 0.10F</t>
  </si>
  <si>
    <t>(6 x 6 x 4,5) mm</t>
  </si>
  <si>
    <t>https://www.mouser.de/ProductDetail/TAIYO-YUDEN/NRS6045T150MMGKV?qs=4aVxpR%2FL9VLwogTAtghyaA%3D%3D</t>
  </si>
  <si>
    <t>Piezo Summer</t>
  </si>
  <si>
    <t>KD</t>
  </si>
  <si>
    <t>(17 x 17 x 8) mm</t>
  </si>
  <si>
    <t>https://www.mouser.de/ProductDetail/Murata-Electronics/PKM17EPP-2002-B0?qs=%252BgmrTk95H2Plaf%2Fb%2FycW8g%3D%3D</t>
  </si>
  <si>
    <t>(15 x 5 x 9) mm</t>
  </si>
  <si>
    <t>https://www.digikey.de/de/products/detail/te-connectivity-amp-connectors/5-146130-5/2135650</t>
  </si>
  <si>
    <t>Mikrocontroller</t>
  </si>
  <si>
    <t>(14  x 14 x 1,5) mm</t>
  </si>
  <si>
    <t>https://www.digikey.de/de/products/detail/nxp-usa-inc/MKE15Z256VLL7/6204867?s=N4IgTCBcDaIAQILIGkCiBGArALTJgbAGoAyxA7CALoC%2BQA</t>
  </si>
  <si>
    <t>Real-time clock</t>
  </si>
  <si>
    <t>(10,4 x 7,4 x 2,6) mm</t>
  </si>
  <si>
    <t>https://www.digikey.de/de/products/detail/nxp-usa-inc/PCF2129T-2-518/3594688?s=N4IgTCBcDaIAoGEBiYCMYCcAVEBdAvkA</t>
  </si>
  <si>
    <t>(14 x 14 x 20) mm</t>
  </si>
  <si>
    <t>Label</t>
  </si>
  <si>
    <t>https://www.digikey.de/de/products/detail/panduit-corp/S100X150VATY/4578482</t>
  </si>
  <si>
    <t>PCB UI Middle</t>
  </si>
  <si>
    <t>PCB UI Upper</t>
  </si>
  <si>
    <t>01</t>
  </si>
  <si>
    <t>01-01</t>
  </si>
  <si>
    <t>01-01-01</t>
  </si>
  <si>
    <t>01-01-02</t>
  </si>
  <si>
    <t>01-01-03</t>
  </si>
  <si>
    <t>01-01-04</t>
  </si>
  <si>
    <t>R-Array</t>
  </si>
  <si>
    <t>(1,3 x 0,6) mm</t>
  </si>
  <si>
    <t>https://www.digikey.de/de/products/detail/panasonic-electronic-components/EXB-18V220JX/671381</t>
  </si>
  <si>
    <t>(0,6 x 0,5) mm</t>
  </si>
  <si>
    <t>Infrared Emitting Diode</t>
  </si>
  <si>
    <t>https://www.digikey.de/de/products/detail/kingbright/APHHS1005F3C-70MAV/9646813?s=N4IgjCBcpgbFoDGUBmBDANgZwKYBoQB7KAbRAGYBOMAVgA4QBdAgBwBcoQBlNgJwEsAdgHMQAXwKxKCEMkjps%2BIqRAAWAAyUq5Jqw6RufIaLESQAJhUYcAEwAEN-oRs4mYoA</t>
  </si>
  <si>
    <t>24.0 
AE2W</t>
  </si>
  <si>
    <t>(1,7 x 1,3) mm</t>
  </si>
  <si>
    <t>https://www.digikey.de/de/products/detail/kyocera-avx/KT1612A26000ECW18TBA/3182378</t>
  </si>
  <si>
    <t>(3,0 x 2,5) mm</t>
  </si>
  <si>
    <t>https://www.digikey.de/de/products/detail/tdk-corporation/VLF302510MT-6R8M-CA/4741619</t>
  </si>
  <si>
    <t>NTS0104 
2A18705 
TnD22
  32A</t>
  </si>
  <si>
    <t>(5 x 4,3) mm</t>
  </si>
  <si>
    <t>Translating Transceiver</t>
  </si>
  <si>
    <t>https://www.mouser.de/ProductDetail/NXP-Semiconductors/NTS0104PW118?qs=A1cBxND5mHKuLQUcgHkvcg%3D%3D</t>
  </si>
  <si>
    <t>Flash Memory</t>
  </si>
  <si>
    <t>X230629-08G 
MX25L6433FZNI 
23801165</t>
  </si>
  <si>
    <t>(6 x 5) mm</t>
  </si>
  <si>
    <t>https://www.digikey.de/de/products/detail/macronix/MX25L6433FZNI-08G/7915005</t>
  </si>
  <si>
    <t>MIMXRT1052 
DVL6B 
1N04V
 CTAK2235J</t>
  </si>
  <si>
    <t>(10 x 10) mm</t>
  </si>
  <si>
    <t>NXP</t>
  </si>
  <si>
    <t>FFC/FPC Connector</t>
  </si>
  <si>
    <t>(23,5 x 5,7) mm</t>
  </si>
  <si>
    <t>(8,5 x 5,7) mm</t>
  </si>
  <si>
    <t>https://www.mouser.de/ProductDetail/Amphenol-Aorora/F34G-1A7Q1-E8C40?qs=11PymoJGorKXwC%252Bjlskzsw%3D%3D</t>
  </si>
  <si>
    <t>https://www.mouser.de/ProductDetail/Amphenol-Aorora/F33T-1A7H1-E8C10?qs=11PymoJGorKRH0Zw8J8%2FwA%3D%3D</t>
  </si>
  <si>
    <t>H17</t>
  </si>
  <si>
    <t>(15,7 x 5) mm</t>
  </si>
  <si>
    <t>(10,7 x 2,6) mm</t>
  </si>
  <si>
    <t>https://www.mouser.de/ProductDetail/Harwin/M20-7810645R?qs=k41KVqW3ymrt%2Fg9ORH5nng%3D%3D</t>
  </si>
  <si>
    <t>https://www.mouser.de/ProductDetail/Harwin/M50-3140445?qs=%252BdQmOuGyFcEaFwvke74u0A%3D%3D</t>
  </si>
  <si>
    <t>Socket / Cable housing</t>
  </si>
  <si>
    <t>Label QR</t>
  </si>
  <si>
    <t>(5 x 5) mm</t>
  </si>
  <si>
    <t>HeT GPU Board ELUX:A17246703/A 
FW:S00004868/B SN: 23060206964</t>
  </si>
  <si>
    <t>(5 x 3,8 x 1,5) mm</t>
  </si>
  <si>
    <t>https://www.digikey.de/de/products/detail/gigadevice-semiconductor-hk-limited/GD25Q128ESEGR/20532184</t>
  </si>
  <si>
    <t>Winbond 
25Q32JVNI0 
2252</t>
  </si>
  <si>
    <t>88MW320-NAP2 
KF2L7.01JW 
2224 A0P
TW    E</t>
  </si>
  <si>
    <t>(7,5 x 7,5 x 1) mm</t>
  </si>
  <si>
    <t>https://www.mouser.de/ProductDetail/NXP-Semiconductors/88MW320-A0-NAP2C000?qs=xZ%2FP%252Ba9zWqYpugxhjwnqjw%3D%3D</t>
  </si>
  <si>
    <t>Coaxialconnector</t>
  </si>
  <si>
    <t>(3 x 3 x 1,9) mm</t>
  </si>
  <si>
    <t>https://www.digikey.de/de/products/detail/murata-electronics/MM8030-2610RK0/4421021</t>
  </si>
  <si>
    <t>T384 
MYBM</t>
  </si>
  <si>
    <t>(1,6 x 2) mm</t>
  </si>
  <si>
    <t>https://www.digikey.de/de/products/detail/kyocera-avx/MC2016Z12-2880C19XSH/11610007</t>
  </si>
  <si>
    <t>Cover</t>
  </si>
  <si>
    <t>(23,3 x 14 x 2,1) mm</t>
  </si>
  <si>
    <t>https://www.digikey.de/de/products/detail/harwin-inc/S02-20150300/4953269</t>
  </si>
  <si>
    <t>Label Electrolux</t>
  </si>
  <si>
    <t>(7 x 7) mm</t>
  </si>
  <si>
    <t>(20 x 15) mm</t>
  </si>
  <si>
    <t>(20 x 5) mm</t>
  </si>
  <si>
    <t>(25 x 4) mm</t>
  </si>
  <si>
    <t>Model: NIUS-50 
Date: 2310 
ANC: A23612401/A 
SN: NIUS-503312014EB</t>
  </si>
  <si>
    <t>Touch Button Spring</t>
  </si>
  <si>
    <t xml:space="preserve">SMD Assembly </t>
  </si>
  <si>
    <t xml:space="preserve">THT Assembly </t>
  </si>
  <si>
    <t>THT Soldering</t>
  </si>
  <si>
    <t>Seperation of use</t>
  </si>
  <si>
    <t>Function test</t>
  </si>
  <si>
    <t>SMD-Line_1x_Placement platform_CS+CP,Lmax40mm,52800cph</t>
  </si>
  <si>
    <t>SR-0013</t>
  </si>
  <si>
    <t>SMD-Line_1x_Placement platform_CS+CP,Lmax40mm,52800cph13789001069,10,5133,680,02190,038164822563721215,337200,482</t>
  </si>
  <si>
    <t>17.05.2024</t>
  </si>
  <si>
    <t>Radial THT pick and place system Radial 8XT Universal</t>
  </si>
  <si>
    <t>Radial THT pick and place system Radial 8XT Universal21000010150,5300,0050,0381603148720,84000,477</t>
  </si>
  <si>
    <t>Selective soldering MultiWave HubTauch ERSA</t>
  </si>
  <si>
    <t>Selective soldering MultiWave HubTauch ERSA21581010500,5300,0050,03824055691450,812000,157</t>
  </si>
  <si>
    <t>PCB separator offline milling Schunk SAR-1300-b 2 New Generation</t>
  </si>
  <si>
    <t>PCB separator offline milling Schunk SAR-1300-b 2 New Generation94517780,5120,06610,03848051881450,412000,408</t>
  </si>
  <si>
    <t>Testing (ICT) Seica Compact SL</t>
  </si>
  <si>
    <t>Testing (ICT) Seica Compact SL107500750,5200,020,03814453891450,69001,14</t>
  </si>
  <si>
    <t>Label Rolle</t>
  </si>
  <si>
    <t>Label Electrolux (20 x 15) mm</t>
  </si>
  <si>
    <t>Label QR (7 x 7) mm</t>
  </si>
  <si>
    <t>Label QR (5 x 5) mm</t>
  </si>
  <si>
    <t>Label (20 x 5) mm</t>
  </si>
  <si>
    <t>Main</t>
  </si>
  <si>
    <t>UI</t>
  </si>
  <si>
    <t>Middle</t>
  </si>
  <si>
    <t>Label (25 x 4) mm</t>
  </si>
  <si>
    <t>(22 x 13) mm</t>
  </si>
  <si>
    <t>Upper</t>
  </si>
  <si>
    <t>Label (22 x 13) mm</t>
  </si>
  <si>
    <t>Manual workstation 1 OP</t>
  </si>
  <si>
    <t>Manual workstation 1 OP7973,358756875270,20,50090,020,0383322686462130023,096</t>
  </si>
  <si>
    <t>Touch Spring PCB Button Spring for Catering Equipment - China Touch Spring and Touch Switch (made-in-china.com)</t>
  </si>
  <si>
    <t>https://www.mouser.de/ProductDetail/NXP-Semiconductors/MIMXRT1052DVL6B?qs=r5DSvlrkXmLhWvqckzJtSg%3D%3D&amp;utm_id=10057311266&amp;gad_source=1&amp;gclid=Cj0KCQjw9vqyBhCKARIsAIIcLMGLO42NhGQmX8n9z2bAqJj5dpp6mmnqwz7qc9N70joo3sfjQ1iG2HYaAqVoEALw_wcB</t>
  </si>
  <si>
    <t>Display</t>
  </si>
  <si>
    <t>TM043NVG01</t>
  </si>
  <si>
    <t>TIANMA Micro Electronics</t>
  </si>
  <si>
    <t>4,3"</t>
  </si>
  <si>
    <t>https://www.mouser.de/ProductDetail/Tianma/TM043NDH02-40?qs=bZr6mbWTK5lSc5x7R9O5Gw%3D%3D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</si>
</sst>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4">
    <numFmt numFmtId="164" formatCode="_(&quot;€&quot;* #,##0.00_);_(&quot;€&quot;* \(#,##0.00\);_(&quot;€&quot;* &quot;-&quot;??_);_(@_)"/>
    <numFmt numFmtId="165" formatCode="_(* #,##0.00_);_(* \(#,##0.00\);_(* &quot;-&quot;??_);_(@_)"/>
    <numFmt numFmtId="166" formatCode="_-* #,##0.00\ _€_-;\-* #,##0.00\ _€_-;_-* &quot;-&quot;??\ _€_-;_-@_-"/>
    <numFmt numFmtId="167" formatCode="#,##0.0"/>
    <numFmt numFmtId="168" formatCode="0.0"/>
    <numFmt numFmtId="169" formatCode="0.0%"/>
    <numFmt numFmtId="170" formatCode="#,##0.000"/>
    <numFmt numFmtId="171" formatCode="0.000"/>
    <numFmt numFmtId="172" formatCode="#,##0.00\ &quot;[€/Stk.]&quot;"/>
    <numFmt numFmtId="173" formatCode="0000"/>
    <numFmt numFmtId="174" formatCode="&quot;&gt;&quot;\ #,##0\ &quot;Stk/Jahr&quot;"/>
    <numFmt numFmtId="175" formatCode="#,##0_ ;\-#,##0\ "/>
    <numFmt numFmtId="176" formatCode="00"/>
    <numFmt numFmtId="177" formatCode="#,##0.00\ &quot;€&quot;"/>
    <numFmt numFmtId="178" formatCode="0.0000"/>
    <numFmt numFmtId="179" formatCode="0.00\ &quot;€/Jahr&quot;"/>
    <numFmt numFmtId="180" formatCode="0.0000\ &quot;€/EH&quot;"/>
    <numFmt numFmtId="181" formatCode="0\ &quot;Seiten&quot;"/>
    <numFmt numFmtId="182" formatCode="#,##0\ &quot;Zeichen&quot;"/>
    <numFmt numFmtId="183" formatCode="0.000000"/>
    <numFmt numFmtId="184" formatCode="#,##0\ &quot;km&quot;"/>
    <numFmt numFmtId="185" formatCode="#,##0.0000"/>
    <numFmt numFmtId="186" formatCode="m/d/yyyy"/>
    <numFmt numFmtId="187" formatCode="#,##0.0000\ &quot;€&quot;"/>
  </numFmts>
  <fonts count="138">
    <font>
      <sz val="10"/>
      <name val="Arial"/>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0"/>
      <name val="Arial"/>
      <family val="2"/>
    </font>
    <font>
      <sz val="10"/>
      <name val="Arial"/>
      <family val="2"/>
    </font>
    <font>
      <sz val="11"/>
      <color indexed="9"/>
      <name val="Calibri"/>
      <family val="2"/>
    </font>
    <font>
      <b/>
      <sz val="11"/>
      <color indexed="63"/>
      <name val="Calibri"/>
      <family val="2"/>
    </font>
    <font>
      <b/>
      <sz val="11"/>
      <color indexed="10"/>
      <name val="Calibri"/>
      <family val="2"/>
    </font>
    <font>
      <sz val="11"/>
      <color indexed="62"/>
      <name val="Calibri"/>
      <family val="2"/>
    </font>
    <font>
      <i/>
      <sz val="11"/>
      <color indexed="23"/>
      <name val="Calibri"/>
      <family val="2"/>
    </font>
    <font>
      <sz val="11"/>
      <color indexed="17"/>
      <name val="Calibri"/>
      <family val="2"/>
    </font>
    <font>
      <sz val="11"/>
      <color indexed="19"/>
      <name val="Calibri"/>
      <family val="2"/>
    </font>
    <font>
      <sz val="11"/>
      <color indexed="20"/>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sz val="11"/>
      <color indexed="10"/>
      <name val="Calibri"/>
      <family val="2"/>
    </font>
    <font>
      <b/>
      <sz val="11"/>
      <color indexed="9"/>
      <name val="Calibri"/>
      <family val="2"/>
    </font>
    <font>
      <sz val="10"/>
      <name val="Arial"/>
      <family val="2"/>
    </font>
    <font>
      <sz val="9"/>
      <color indexed="81"/>
      <name val="Segoe UI"/>
      <family val="2"/>
    </font>
    <font>
      <sz val="10"/>
      <name val="Arial"/>
      <family val="2"/>
    </font>
    <font>
      <sz val="10"/>
      <name val="Wingdings 3"/>
      <family val="1"/>
      <charset val="2"/>
    </font>
    <font>
      <sz val="10"/>
      <name val="Wingdings 2"/>
      <family val="1"/>
      <charset val="2"/>
    </font>
    <font>
      <sz val="8"/>
      <name val="Arial"/>
      <family val="2"/>
    </font>
    <font>
      <sz val="8"/>
      <name val="Arial"/>
      <family val="2"/>
    </font>
    <font>
      <sz val="8"/>
      <name val="Arial"/>
      <family val="2"/>
    </font>
    <font>
      <u/>
      <sz val="10"/>
      <color theme="10"/>
      <name val="Arial"/>
      <family val="2"/>
    </font>
    <font>
      <sz val="8"/>
      <name val="Arial"/>
      <family val="2"/>
    </font>
    <font>
      <sz val="8"/>
      <name val="Arial"/>
      <family val="2"/>
    </font>
    <font>
      <sz val="10"/>
      <name val="MS Sans Serif"/>
      <family val="2"/>
    </font>
    <font>
      <sz val="10"/>
      <name val="Arial"/>
      <family val="2"/>
    </font>
    <font>
      <sz val="10"/>
      <name val="Arial Narrow"/>
      <family val="2"/>
      <scheme val="minor"/>
    </font>
    <font>
      <b/>
      <sz val="10"/>
      <color theme="0"/>
      <name val="Arial Narrow"/>
      <family val="2"/>
      <scheme val="minor"/>
    </font>
    <font>
      <sz val="10"/>
      <color rgb="FFFF0000"/>
      <name val="Arial Narrow"/>
      <family val="2"/>
      <scheme val="minor"/>
    </font>
    <font>
      <sz val="10"/>
      <color theme="1"/>
      <name val="Arial Narrow"/>
      <family val="2"/>
      <scheme val="minor"/>
    </font>
    <font>
      <sz val="10"/>
      <name val="Roboto Condensed"/>
    </font>
    <font>
      <b/>
      <sz val="10"/>
      <name val="Arial Narrow"/>
      <family val="2"/>
      <scheme val="minor"/>
    </font>
    <font>
      <b/>
      <sz val="14"/>
      <name val="Arial Narrow"/>
      <family val="2"/>
      <scheme val="minor"/>
    </font>
    <font>
      <sz val="10"/>
      <color theme="0"/>
      <name val="Arial Narrow"/>
      <family val="2"/>
      <scheme val="minor"/>
    </font>
    <font>
      <sz val="8"/>
      <color theme="5"/>
      <name val="Arial Narrow"/>
      <family val="2"/>
      <scheme val="minor"/>
    </font>
    <font>
      <sz val="8"/>
      <name val="Arial Narrow"/>
      <family val="2"/>
      <scheme val="minor"/>
    </font>
    <font>
      <sz val="8"/>
      <color rgb="FFFF0000"/>
      <name val="Arial Narrow"/>
      <family val="2"/>
      <scheme val="minor"/>
    </font>
    <font>
      <sz val="10"/>
      <color theme="5"/>
      <name val="Arial Narrow"/>
      <family val="2"/>
      <scheme val="minor"/>
    </font>
    <font>
      <b/>
      <sz val="10"/>
      <color theme="9"/>
      <name val="Arial Narrow"/>
      <family val="2"/>
      <scheme val="major"/>
    </font>
    <font>
      <sz val="10"/>
      <name val="Arial Narrow"/>
      <family val="2"/>
      <scheme val="major"/>
    </font>
    <font>
      <sz val="10"/>
      <color theme="8"/>
      <name val="Arial Narrow"/>
      <family val="2"/>
      <scheme val="major"/>
    </font>
    <font>
      <b/>
      <sz val="10"/>
      <color theme="8"/>
      <name val="Arial Narrow"/>
      <family val="2"/>
      <scheme val="major"/>
    </font>
    <font>
      <sz val="10"/>
      <color rgb="FFFF0000"/>
      <name val="Arial Narrow"/>
      <family val="2"/>
      <scheme val="major"/>
    </font>
    <font>
      <b/>
      <sz val="10"/>
      <name val="Arial Narrow"/>
      <family val="2"/>
      <scheme val="major"/>
    </font>
    <font>
      <sz val="10"/>
      <color theme="0"/>
      <name val="Arial Narrow"/>
      <family val="2"/>
      <scheme val="major"/>
    </font>
    <font>
      <b/>
      <sz val="10"/>
      <color rgb="FFFF0000"/>
      <name val="Arial Narrow"/>
      <family val="2"/>
      <scheme val="major"/>
    </font>
    <font>
      <sz val="10"/>
      <color theme="9"/>
      <name val="Arial Narrow"/>
      <family val="2"/>
      <scheme val="major"/>
    </font>
    <font>
      <sz val="10"/>
      <color theme="0" tint="-0.499984740745262"/>
      <name val="Arial Narrow"/>
      <family val="2"/>
      <scheme val="major"/>
    </font>
    <font>
      <sz val="10"/>
      <color theme="6"/>
      <name val="Arial Narrow"/>
      <family val="2"/>
      <scheme val="major"/>
    </font>
    <font>
      <b/>
      <sz val="18"/>
      <color theme="0"/>
      <name val="Arial Narrow"/>
      <family val="2"/>
      <scheme val="minor"/>
    </font>
    <font>
      <sz val="10"/>
      <color theme="7"/>
      <name val="Arial Narrow"/>
      <family val="2"/>
      <scheme val="minor"/>
    </font>
    <font>
      <sz val="10"/>
      <color theme="4"/>
      <name val="Arial Narrow"/>
      <family val="2"/>
      <scheme val="minor"/>
    </font>
    <font>
      <b/>
      <sz val="10"/>
      <color theme="8"/>
      <name val="Arial Narrow"/>
      <family val="2"/>
      <scheme val="minor"/>
    </font>
    <font>
      <i/>
      <sz val="10"/>
      <color theme="0"/>
      <name val="Arial Narrow"/>
      <family val="2"/>
      <scheme val="minor"/>
    </font>
    <font>
      <b/>
      <sz val="10"/>
      <color theme="1"/>
      <name val="Arial Narrow"/>
      <family val="2"/>
      <scheme val="minor"/>
    </font>
    <font>
      <i/>
      <sz val="10"/>
      <name val="Arial Narrow"/>
      <family val="2"/>
      <scheme val="minor"/>
    </font>
    <font>
      <b/>
      <sz val="10"/>
      <color rgb="FFFF0000"/>
      <name val="Arial Narrow"/>
      <family val="2"/>
      <scheme val="minor"/>
    </font>
    <font>
      <sz val="10"/>
      <color theme="8"/>
      <name val="Arial Narrow"/>
      <family val="2"/>
      <scheme val="minor"/>
    </font>
    <font>
      <u/>
      <sz val="10"/>
      <color theme="10"/>
      <name val="Arial Narrow"/>
      <family val="2"/>
      <scheme val="minor"/>
    </font>
    <font>
      <b/>
      <sz val="10"/>
      <color theme="7"/>
      <name val="Arial Narrow"/>
      <family val="2"/>
      <scheme val="minor"/>
    </font>
    <font>
      <sz val="10"/>
      <color rgb="FF00B050"/>
      <name val="Arial Narrow"/>
      <family val="2"/>
      <scheme val="minor"/>
    </font>
    <font>
      <b/>
      <u/>
      <sz val="10"/>
      <color theme="0"/>
      <name val="Arial Narrow"/>
      <family val="2"/>
      <scheme val="minor"/>
    </font>
    <font>
      <i/>
      <sz val="10"/>
      <color rgb="FFFFC000"/>
      <name val="Arial Narrow"/>
      <family val="2"/>
      <scheme val="minor"/>
    </font>
    <font>
      <sz val="10"/>
      <color theme="0" tint="-0.249977111117893"/>
      <name val="Arial Narrow"/>
      <family val="2"/>
      <scheme val="minor"/>
    </font>
    <font>
      <sz val="10"/>
      <color rgb="FFFFFF00"/>
      <name val="Arial Narrow"/>
      <family val="2"/>
      <scheme val="minor"/>
    </font>
    <font>
      <sz val="10"/>
      <name val="Arial Narrow"/>
      <family val="2"/>
      <scheme val="minor"/>
    </font>
    <font>
      <b/>
      <sz val="10"/>
      <color theme="0"/>
      <name val="Arial Narrow"/>
      <family val="2"/>
      <scheme val="major"/>
    </font>
    <font>
      <b/>
      <sz val="10"/>
      <color theme="9" tint="0.79998168889431442"/>
      <name val="Arial Narrow"/>
      <family val="2"/>
      <scheme val="minor"/>
    </font>
    <font>
      <sz val="10"/>
      <color theme="9" tint="0.39997558519241921"/>
      <name val="Arial Narrow"/>
      <family val="2"/>
      <scheme val="minor"/>
    </font>
    <font>
      <b/>
      <sz val="10"/>
      <color rgb="FFFFC000"/>
      <name val="Arial Narrow"/>
      <family val="2"/>
      <scheme val="major"/>
    </font>
    <font>
      <b/>
      <sz val="10"/>
      <color theme="9"/>
      <name val="Arial Narrow"/>
      <family val="2"/>
    </font>
    <font>
      <b/>
      <sz val="10"/>
      <color theme="1"/>
      <name val="Arial Narrow"/>
      <family val="2"/>
    </font>
    <font>
      <b/>
      <sz val="10"/>
      <name val="Arial Narrow"/>
      <family val="2"/>
    </font>
    <font>
      <sz val="10"/>
      <name val="Arial Narrow"/>
      <family val="2"/>
    </font>
    <font>
      <b/>
      <sz val="10"/>
      <color rgb="FFFF0000"/>
      <name val="Arial Narrow"/>
      <family val="2"/>
    </font>
    <font>
      <sz val="10"/>
      <color rgb="FFFF0000"/>
      <name val="Arial Narrow"/>
      <family val="2"/>
    </font>
    <font>
      <i/>
      <sz val="10"/>
      <name val="Arial Narrow"/>
      <family val="2"/>
    </font>
    <font>
      <b/>
      <sz val="13"/>
      <name val="Arial Narrow"/>
      <family val="2"/>
      <scheme val="major"/>
    </font>
    <font>
      <sz val="10"/>
      <color theme="8"/>
      <name val="Arial Narrow"/>
      <family val="2"/>
      <scheme val="minor"/>
    </font>
    <font>
      <sz val="10"/>
      <name val="Arial Narrow"/>
      <family val="2"/>
      <scheme val="minor"/>
    </font>
    <font>
      <sz val="10"/>
      <name val="Arial Narrow"/>
      <family val="2"/>
      <scheme val="minor"/>
    </font>
    <font>
      <b/>
      <sz val="10"/>
      <name val="Wingdings 3"/>
      <family val="1"/>
      <charset val="2"/>
    </font>
    <font>
      <sz val="10"/>
      <name val="Arial Narrow"/>
      <family val="2"/>
      <scheme val="minor"/>
    </font>
    <font>
      <sz val="10"/>
      <name val="Arial Narrow"/>
      <family val="2"/>
      <scheme val="minor"/>
    </font>
    <font>
      <b/>
      <sz val="10"/>
      <color theme="9" tint="0.39997558519241921"/>
      <name val="Arial Narrow"/>
      <family val="2"/>
      <scheme val="minor"/>
    </font>
    <font>
      <b/>
      <sz val="9"/>
      <color theme="9" tint="0.39997558519241921"/>
      <name val="Roboto Light"/>
    </font>
    <font>
      <sz val="10"/>
      <color theme="9" tint="0.79998168889431442"/>
      <name val="Arial Narrow"/>
      <family val="2"/>
      <scheme val="minor"/>
    </font>
    <font>
      <sz val="10"/>
      <color theme="9" tint="0.39997558519241921"/>
      <name val="Arial Narrow"/>
      <family val="2"/>
    </font>
    <font>
      <b/>
      <sz val="9"/>
      <name val="Arial Narrow"/>
      <family val="2"/>
    </font>
    <font>
      <sz val="9"/>
      <name val="Wingdings 2"/>
      <family val="1"/>
      <charset val="2"/>
    </font>
    <font>
      <b/>
      <sz val="10"/>
      <color theme="0"/>
      <name val="Arial"/>
      <family val="2"/>
    </font>
    <font>
      <sz val="18"/>
      <name val="Arial"/>
      <family val="2"/>
    </font>
    <font>
      <sz val="10"/>
      <color theme="0"/>
      <name val="Arial"/>
      <family val="2"/>
    </font>
    <font>
      <sz val="10"/>
      <name val="Arial Narrow"/>
      <family val="2"/>
      <scheme val="minor"/>
    </font>
    <font>
      <sz val="10"/>
      <name val="Arial Narrow"/>
      <family val="2"/>
      <scheme val="minor"/>
    </font>
    <font>
      <sz val="10"/>
      <color theme="0"/>
      <name val="Arial Narrow"/>
      <family val="2"/>
      <scheme val="minor"/>
    </font>
    <font>
      <sz val="8"/>
      <name val="Arial"/>
      <family val="2"/>
    </font>
    <font>
      <sz val="10"/>
      <name val="Arial Narrow"/>
      <family val="2"/>
      <scheme val="minor"/>
    </font>
    <font>
      <vertAlign val="subscript"/>
      <sz val="10"/>
      <name val="Arial Narrow"/>
      <family val="2"/>
      <scheme val="minor"/>
    </font>
    <font>
      <sz val="10"/>
      <name val="Symbol"/>
      <family val="1"/>
      <charset val="2"/>
    </font>
    <font>
      <sz val="10"/>
      <name val="Arial Narrow"/>
      <family val="1"/>
      <charset val="2"/>
    </font>
    <font>
      <b/>
      <sz val="10"/>
      <name val="Arial Narrow"/>
      <family val="1"/>
      <charset val="2"/>
    </font>
    <font>
      <sz val="10"/>
      <name val="Arial Narrow"/>
      <family val="1"/>
      <charset val="2"/>
      <scheme val="minor"/>
    </font>
    <font>
      <sz val="10"/>
      <name val="Arial Narrow"/>
      <family val="2"/>
      <scheme val="minor"/>
    </font>
    <font>
      <sz val="10"/>
      <name val="Arial Narrow"/>
      <family val="2"/>
      <scheme val="minor"/>
    </font>
    <font>
      <sz val="10"/>
      <name val="Arial Narrow"/>
      <family val="2"/>
      <scheme val="minor"/>
    </font>
    <font>
      <sz val="10"/>
      <name val="Arial Narrow"/>
      <family val="2"/>
      <scheme val="minor"/>
    </font>
    <font>
      <sz val="10"/>
      <name val="Arial Narrow"/>
      <family val="2"/>
      <scheme val="minor"/>
    </font>
    <font>
      <sz val="10"/>
      <color theme="1"/>
      <name val="Arial Narrow"/>
      <family val="2"/>
      <scheme val="minor"/>
    </font>
    <font>
      <sz val="10"/>
      <color theme="4"/>
      <name val="Arial Narrow"/>
      <family val="2"/>
      <scheme val="minor"/>
    </font>
    <font>
      <sz val="10"/>
      <color theme="0" tint="-0.499984740745262"/>
      <name val="Arial Narrow"/>
      <family val="2"/>
      <scheme val="minor"/>
    </font>
    <font>
      <i/>
      <sz val="10"/>
      <name val="Arial Narrow"/>
      <family val="2"/>
      <scheme val="minor"/>
    </font>
    <font>
      <sz val="8"/>
      <name val="Roboto Light"/>
    </font>
    <font>
      <b/>
      <sz val="8"/>
      <name val="Roboto Light"/>
    </font>
    <font>
      <u/>
      <sz val="8"/>
      <name val="Roboto Light"/>
    </font>
    <font>
      <b/>
      <sz val="8"/>
      <color theme="0"/>
      <name val="Roboto Light"/>
    </font>
    <font>
      <b/>
      <u/>
      <sz val="8"/>
      <name val="Roboto Light"/>
    </font>
    <font>
      <i/>
      <sz val="8"/>
      <name val="Roboto Light"/>
    </font>
    <font>
      <sz val="8"/>
      <color theme="0"/>
      <name val="Roboto Light"/>
    </font>
    <font>
      <b/>
      <sz val="9"/>
      <color indexed="81"/>
      <name val="Segoe UI"/>
      <family val="2"/>
    </font>
  </fonts>
  <fills count="57">
    <fill>
      <patternFill patternType="none"/>
    </fill>
    <fill>
      <patternFill patternType="gray125"/>
    </fill>
    <fill>
      <patternFill patternType="solid">
        <fgColor indexed="26"/>
      </patternFill>
    </fill>
    <fill>
      <patternFill patternType="solid">
        <fgColor indexed="27"/>
      </patternFill>
    </fill>
    <fill>
      <patternFill patternType="solid">
        <fgColor indexed="8"/>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9"/>
      </patternFill>
    </fill>
    <fill>
      <patternFill patternType="solid">
        <fgColor indexed="46"/>
      </patternFill>
    </fill>
    <fill>
      <patternFill patternType="solid">
        <fgColor indexed="55"/>
      </patternFill>
    </fill>
    <fill>
      <patternFill patternType="solid">
        <fgColor theme="0"/>
        <bgColor indexed="64"/>
      </patternFill>
    </fill>
    <fill>
      <patternFill patternType="solid">
        <fgColor theme="9"/>
        <bgColor indexed="64"/>
      </patternFill>
    </fill>
    <fill>
      <patternFill patternType="solid">
        <fgColor theme="4"/>
        <bgColor indexed="64"/>
      </patternFill>
    </fill>
    <fill>
      <patternFill patternType="solid">
        <fgColor theme="7" tint="0.79998168889431442"/>
        <bgColor indexed="64"/>
      </patternFill>
    </fill>
    <fill>
      <patternFill patternType="solid">
        <fgColor theme="8"/>
        <bgColor indexed="64"/>
      </patternFill>
    </fill>
    <fill>
      <patternFill patternType="solid">
        <fgColor theme="8"/>
        <bgColor indexed="26"/>
      </patternFill>
    </fill>
    <fill>
      <patternFill patternType="solid">
        <fgColor theme="9" tint="0.79998168889431442"/>
        <bgColor rgb="FF000000"/>
      </patternFill>
    </fill>
    <fill>
      <patternFill patternType="gray125">
        <fgColor auto="1"/>
        <bgColor theme="8"/>
      </patternFill>
    </fill>
    <fill>
      <patternFill patternType="gray125">
        <fgColor auto="1"/>
        <bgColor theme="9" tint="0.79998168889431442"/>
      </patternFill>
    </fill>
    <fill>
      <patternFill patternType="solid">
        <fgColor theme="6"/>
        <bgColor indexed="64"/>
      </patternFill>
    </fill>
    <fill>
      <patternFill patternType="solid">
        <fgColor rgb="FF448E5B"/>
        <bgColor indexed="64"/>
      </patternFill>
    </fill>
    <fill>
      <patternFill patternType="solid">
        <fgColor rgb="FFC00000"/>
        <bgColor indexed="64"/>
      </patternFill>
    </fill>
    <fill>
      <patternFill patternType="solid">
        <fgColor rgb="FF92D050"/>
        <bgColor indexed="64"/>
      </patternFill>
    </fill>
    <fill>
      <patternFill patternType="solid">
        <fgColor theme="9" tint="0.79998168889431442"/>
        <bgColor theme="9" tint="0.79998168889431442"/>
      </patternFill>
    </fill>
    <fill>
      <patternFill patternType="solid">
        <fgColor theme="9" tint="0.39997558519241921"/>
        <bgColor rgb="FF000000"/>
      </patternFill>
    </fill>
    <fill>
      <patternFill patternType="gray125">
        <fgColor auto="1"/>
        <bgColor theme="9" tint="0.39997558519241921"/>
      </patternFill>
    </fill>
    <fill>
      <patternFill patternType="solid">
        <fgColor theme="5" tint="0.59999389629810485"/>
        <bgColor rgb="FF000000"/>
      </patternFill>
    </fill>
    <fill>
      <patternFill patternType="gray125">
        <fgColor auto="1"/>
        <bgColor theme="5" tint="0.59999389629810485"/>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C000"/>
        <bgColor indexed="64"/>
      </patternFill>
    </fill>
    <fill>
      <gradientFill>
        <stop position="0">
          <color theme="0"/>
        </stop>
        <stop position="1">
          <color theme="9" tint="0.80001220740379042"/>
        </stop>
      </gradientFill>
    </fill>
    <fill>
      <patternFill patternType="solid">
        <fgColor theme="8" tint="0.249977111117893"/>
        <bgColor rgb="FF000000"/>
      </patternFill>
    </fill>
    <fill>
      <patternFill patternType="gray125">
        <fgColor auto="1"/>
        <bgColor theme="8" tint="0.89999084444715716"/>
      </patternFill>
    </fill>
    <fill>
      <patternFill patternType="solid">
        <fgColor theme="8" tint="0.89999084444715716"/>
        <bgColor rgb="FF000000"/>
      </patternFill>
    </fill>
    <fill>
      <patternFill patternType="gray125">
        <fgColor auto="1"/>
        <bgColor theme="8" tint="0.749992370372631"/>
      </patternFill>
    </fill>
    <fill>
      <patternFill patternType="solid">
        <fgColor theme="8" tint="0.749992370372631"/>
        <bgColor rgb="FF000000"/>
      </patternFill>
    </fill>
    <fill>
      <patternFill patternType="gray125">
        <fgColor auto="1"/>
        <bgColor theme="5"/>
      </patternFill>
    </fill>
    <fill>
      <patternFill patternType="solid">
        <fgColor theme="5"/>
        <bgColor rgb="FF000000"/>
      </patternFill>
    </fill>
    <fill>
      <patternFill patternType="gray125">
        <fgColor auto="1"/>
        <bgColor theme="8" tint="0.249977111117893"/>
      </patternFill>
    </fill>
    <fill>
      <patternFill patternType="solid">
        <fgColor theme="8" tint="0.249977111117893"/>
        <bgColor indexed="64"/>
      </patternFill>
    </fill>
    <fill>
      <patternFill patternType="solid">
        <fgColor theme="8" tint="0.749992370372631"/>
        <bgColor indexed="64"/>
      </patternFill>
    </fill>
    <fill>
      <patternFill patternType="solid">
        <fgColor theme="4"/>
        <bgColor theme="4"/>
      </patternFill>
    </fill>
    <fill>
      <patternFill patternType="solid">
        <fgColor theme="0" tint="-4.9989318521683403E-2"/>
        <bgColor indexed="64"/>
      </patternFill>
    </fill>
    <fill>
      <patternFill patternType="solid">
        <fgColor rgb="FFD4FAE1"/>
        <bgColor indexed="64"/>
      </patternFill>
    </fill>
    <fill>
      <patternFill patternType="solid">
        <fgColor rgb="FFFDFCC0"/>
        <bgColor indexed="64"/>
      </patternFill>
    </fill>
    <fill>
      <patternFill patternType="solid">
        <fgColor rgb="FFF8F0F5"/>
        <bgColor indexed="64"/>
      </patternFill>
    </fill>
    <fill>
      <patternFill patternType="solid">
        <fgColor theme="5" tint="0.79998168889431442"/>
        <bgColor indexed="64"/>
      </patternFill>
    </fill>
    <fill>
      <patternFill patternType="solid">
        <fgColor theme="8" tint="0.89999084444715716"/>
        <bgColor indexed="64"/>
      </patternFill>
    </fill>
    <fill>
      <patternFill patternType="solid">
        <fgColor theme="4" tint="0.59999389629810485"/>
        <bgColor indexed="64"/>
      </patternFill>
    </fill>
    <fill>
      <patternFill patternType="solid">
        <fgColor rgb="FFFFFF00"/>
        <bgColor indexed="64"/>
      </patternFill>
    </fill>
    <fill>
      <patternFill patternType="solid">
        <fgColor theme="4" tint="0.79998168889431442"/>
        <bgColor indexed="64"/>
      </patternFill>
    </fill>
    <fill>
      <patternFill patternType="solid">
        <fgColor theme="8"/>
        <bgColor theme="8"/>
      </patternFill>
    </fill>
  </fills>
  <borders count="130">
    <border>
      <left/>
      <right/>
      <top/>
      <bottom/>
      <diagonal/>
    </border>
    <border>
      <left/>
      <right/>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56"/>
      </top>
      <bottom style="double">
        <color indexed="56"/>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double">
        <color indexed="63"/>
      </left>
      <right style="double">
        <color indexed="63"/>
      </right>
      <top style="double">
        <color indexed="63"/>
      </top>
      <bottom style="double">
        <color indexed="63"/>
      </bottom>
      <diagonal/>
    </border>
    <border>
      <left style="thin">
        <color indexed="64"/>
      </left>
      <right/>
      <top/>
      <bottom/>
      <diagonal/>
    </border>
    <border>
      <left/>
      <right style="thin">
        <color indexed="64"/>
      </right>
      <top/>
      <bottom/>
      <diagonal/>
    </border>
    <border>
      <left/>
      <right/>
      <top style="medium">
        <color indexed="64"/>
      </top>
      <bottom/>
      <diagonal/>
    </border>
    <border>
      <left style="thin">
        <color indexed="64"/>
      </left>
      <right style="thin">
        <color indexed="64"/>
      </right>
      <top/>
      <bottom/>
      <diagonal/>
    </border>
    <border>
      <left/>
      <right style="hair">
        <color indexed="64"/>
      </right>
      <top/>
      <bottom style="hair">
        <color indexed="64"/>
      </bottom>
      <diagonal/>
    </border>
    <border>
      <left style="thin">
        <color indexed="64"/>
      </left>
      <right/>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thin">
        <color indexed="64"/>
      </top>
      <bottom style="thin">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hair">
        <color indexed="64"/>
      </right>
      <top/>
      <bottom style="thin">
        <color indexed="64"/>
      </bottom>
      <diagonal/>
    </border>
    <border>
      <left/>
      <right/>
      <top/>
      <bottom style="medium">
        <color auto="1"/>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bottom/>
      <diagonal/>
    </border>
    <border>
      <left style="hair">
        <color indexed="64"/>
      </left>
      <right style="thin">
        <color indexed="64"/>
      </right>
      <top/>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diagonal/>
    </border>
    <border>
      <left/>
      <right style="medium">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right/>
      <top style="hair">
        <color indexed="64"/>
      </top>
      <bottom style="hair">
        <color indexed="64"/>
      </bottom>
      <diagonal/>
    </border>
    <border>
      <left/>
      <right style="medium">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right/>
      <top style="medium">
        <color indexed="64"/>
      </top>
      <bottom style="thin">
        <color indexed="64"/>
      </bottom>
      <diagonal/>
    </border>
    <border>
      <left/>
      <right style="hair">
        <color indexed="64"/>
      </right>
      <top style="medium">
        <color indexed="64"/>
      </top>
      <bottom style="thin">
        <color indexed="64"/>
      </bottom>
      <diagonal/>
    </border>
    <border>
      <left style="medium">
        <color indexed="64"/>
      </left>
      <right style="hair">
        <color indexed="64"/>
      </right>
      <top style="medium">
        <color indexed="64"/>
      </top>
      <bottom style="thin">
        <color indexed="64"/>
      </bottom>
      <diagonal/>
    </border>
    <border>
      <left/>
      <right style="thin">
        <color indexed="64"/>
      </right>
      <top style="hair">
        <color indexed="64"/>
      </top>
      <bottom style="medium">
        <color indexed="64"/>
      </bottom>
      <diagonal/>
    </border>
    <border>
      <left/>
      <right style="thin">
        <color indexed="64"/>
      </right>
      <top style="medium">
        <color indexed="64"/>
      </top>
      <bottom style="thin">
        <color indexed="64"/>
      </bottom>
      <diagonal/>
    </border>
    <border>
      <left style="hair">
        <color indexed="64"/>
      </left>
      <right/>
      <top/>
      <bottom style="hair">
        <color indexed="64"/>
      </bottom>
      <diagonal/>
    </border>
    <border>
      <left/>
      <right/>
      <top style="thin">
        <color theme="8" tint="0.39994506668294322"/>
      </top>
      <bottom/>
      <diagonal/>
    </border>
    <border>
      <left style="thin">
        <color indexed="64"/>
      </left>
      <right/>
      <top style="thin">
        <color theme="8" tint="0.39994506668294322"/>
      </top>
      <bottom/>
      <diagonal/>
    </border>
    <border>
      <left/>
      <right style="thin">
        <color indexed="64"/>
      </right>
      <top style="thin">
        <color theme="8" tint="0.39994506668294322"/>
      </top>
      <bottom/>
      <diagonal/>
    </border>
    <border>
      <left style="thin">
        <color theme="8" tint="0.39991454817346722"/>
      </left>
      <right/>
      <top style="thin">
        <color theme="8" tint="0.39994506668294322"/>
      </top>
      <bottom/>
      <diagonal/>
    </border>
    <border>
      <left style="thin">
        <color theme="9" tint="0.39997558519241921"/>
      </left>
      <right/>
      <top style="thin">
        <color theme="9" tint="0.39997558519241921"/>
      </top>
      <bottom style="thin">
        <color theme="9" tint="0.39997558519241921"/>
      </bottom>
      <diagonal/>
    </border>
    <border>
      <left/>
      <right style="thin">
        <color theme="8" tint="0.39988402966399123"/>
      </right>
      <top style="thin">
        <color theme="8" tint="0.39994506668294322"/>
      </top>
      <bottom/>
      <diagonal/>
    </border>
    <border>
      <left style="thin">
        <color theme="8" tint="0.39991454817346722"/>
      </left>
      <right style="thin">
        <color theme="8" tint="0.39991454817346722"/>
      </right>
      <top/>
      <bottom/>
      <diagonal/>
    </border>
    <border>
      <left style="thin">
        <color theme="8" tint="0.39991454817346722"/>
      </left>
      <right style="thin">
        <color theme="8" tint="0.39991454817346722"/>
      </right>
      <top style="thin">
        <color theme="8" tint="0.39988402966399123"/>
      </top>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top style="thin">
        <color theme="8" tint="0.39988402966399123"/>
      </top>
      <bottom style="thin">
        <color theme="8" tint="0.39988402966399123"/>
      </bottom>
      <diagonal/>
    </border>
    <border>
      <left/>
      <right style="thin">
        <color theme="8" tint="0.39985351115451523"/>
      </right>
      <top style="thin">
        <color theme="8" tint="0.39988402966399123"/>
      </top>
      <bottom style="thin">
        <color theme="8" tint="0.39988402966399123"/>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diagonal/>
    </border>
    <border>
      <left style="thin">
        <color indexed="64"/>
      </left>
      <right style="thin">
        <color theme="8" tint="0.39991454817346722"/>
      </right>
      <top style="thin">
        <color theme="8" tint="0.39988402966399123"/>
      </top>
      <bottom/>
      <diagonal/>
    </border>
    <border>
      <left style="thin">
        <color theme="8" tint="0.39991454817346722"/>
      </left>
      <right style="thin">
        <color indexed="64"/>
      </right>
      <top style="thin">
        <color theme="8" tint="0.39988402966399123"/>
      </top>
      <bottom/>
      <diagonal/>
    </border>
    <border>
      <left style="thin">
        <color theme="8" tint="0.39991454817346722"/>
      </left>
      <right style="thin">
        <color indexed="64"/>
      </right>
      <top/>
      <bottom/>
      <diagonal/>
    </border>
    <border>
      <left style="thin">
        <color theme="9" tint="0.39997558519241921"/>
      </left>
      <right/>
      <top style="thin">
        <color theme="9" tint="0.39997558519241921"/>
      </top>
      <bottom/>
      <diagonal/>
    </border>
    <border>
      <left/>
      <right style="hair">
        <color indexed="64"/>
      </right>
      <top/>
      <bottom style="thin">
        <color indexed="64"/>
      </bottom>
      <diagonal/>
    </border>
    <border>
      <left style="thin">
        <color rgb="FFFF0000"/>
      </left>
      <right style="thin">
        <color rgb="FFFF0000"/>
      </right>
      <top/>
      <bottom/>
      <diagonal/>
    </border>
    <border>
      <left/>
      <right style="thin">
        <color rgb="FFFF0000"/>
      </right>
      <top/>
      <bottom/>
      <diagonal/>
    </border>
    <border>
      <left style="thin">
        <color rgb="FFFF0000"/>
      </left>
      <right/>
      <top/>
      <bottom/>
      <diagonal/>
    </border>
    <border>
      <left/>
      <right style="thin">
        <color theme="0"/>
      </right>
      <top/>
      <bottom/>
      <diagonal/>
    </border>
    <border>
      <left style="thin">
        <color theme="0"/>
      </left>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top style="thin">
        <color theme="8" tint="0.39988402966399123"/>
      </top>
      <bottom style="thin">
        <color theme="8" tint="0.39988402966399123"/>
      </bottom>
      <diagonal/>
    </border>
    <border>
      <left style="thin">
        <color theme="8" tint="0.39985351115451523"/>
      </left>
      <right/>
      <top style="thin">
        <color theme="8" tint="0.39988402966399123"/>
      </top>
      <bottom style="thin">
        <color theme="8" tint="0.39988402966399123"/>
      </bottom>
      <diagonal/>
    </border>
    <border>
      <left/>
      <right/>
      <top/>
      <bottom style="medium">
        <color indexed="64"/>
      </bottom>
      <diagonal/>
    </border>
    <border>
      <left style="thin">
        <color theme="0"/>
      </left>
      <right/>
      <top/>
      <bottom style="thin">
        <color theme="0"/>
      </bottom>
      <diagonal/>
    </border>
    <border>
      <left/>
      <right/>
      <top style="medium">
        <color auto="1"/>
      </top>
      <bottom/>
      <diagonal/>
    </border>
    <border>
      <left/>
      <right/>
      <top/>
      <bottom style="hair">
        <color indexed="64"/>
      </bottom>
      <diagonal/>
    </border>
    <border>
      <left style="hair">
        <color indexed="64"/>
      </left>
      <right style="thin">
        <color indexed="64"/>
      </right>
      <top style="hair">
        <color indexed="64"/>
      </top>
      <bottom style="hair">
        <color indexed="64"/>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medium">
        <color indexed="64"/>
      </left>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top/>
      <bottom style="medium">
        <color indexed="64"/>
      </bottom>
      <diagonal/>
    </border>
    <border>
      <left style="dashed">
        <color indexed="64"/>
      </left>
      <right style="medium">
        <color indexed="64"/>
      </right>
      <top style="dashed">
        <color indexed="64"/>
      </top>
      <bottom style="medium">
        <color indexed="64"/>
      </bottom>
      <diagonal/>
    </border>
    <border>
      <left style="medium">
        <color indexed="64"/>
      </left>
      <right style="dashed">
        <color indexed="64"/>
      </right>
      <top style="dashed">
        <color indexed="64"/>
      </top>
      <bottom style="medium">
        <color indexed="64"/>
      </bottom>
      <diagonal/>
    </border>
    <border>
      <left style="medium">
        <color indexed="64"/>
      </left>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style="thin">
        <color indexed="64"/>
      </top>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rgb="FFFF0000"/>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theme="8"/>
      </left>
      <right style="thin">
        <color theme="8"/>
      </right>
      <top style="thin">
        <color theme="8"/>
      </top>
      <bottom/>
      <diagonal/>
    </border>
    <border>
      <left style="thin">
        <color theme="8"/>
      </left>
      <right style="thin">
        <color theme="8"/>
      </right>
      <top style="thin">
        <color theme="8"/>
      </top>
      <bottom style="thin">
        <color theme="8"/>
      </bottom>
      <diagonal/>
    </border>
  </borders>
  <cellStyleXfs count="67">
    <xf numFmtId="0" fontId="0" fillId="0" borderId="0"/>
    <xf numFmtId="0" fontId="17" fillId="7"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8" fillId="11" borderId="2" applyNumberFormat="0" applyAlignment="0" applyProtection="0"/>
    <xf numFmtId="0" fontId="19" fillId="11" borderId="3" applyNumberFormat="0" applyAlignment="0" applyProtection="0"/>
    <xf numFmtId="0" fontId="20" fillId="4" borderId="3" applyNumberFormat="0" applyAlignment="0" applyProtection="0"/>
    <xf numFmtId="0" fontId="18" fillId="0" borderId="4" applyNumberFormat="0" applyFill="0" applyAlignment="0" applyProtection="0"/>
    <xf numFmtId="0" fontId="21" fillId="0" borderId="0" applyNumberFormat="0" applyFill="0" applyBorder="0" applyAlignment="0" applyProtection="0"/>
    <xf numFmtId="0" fontId="22" fillId="3" borderId="0" applyNumberFormat="0" applyBorder="0" applyAlignment="0" applyProtection="0"/>
    <xf numFmtId="0" fontId="23" fillId="4" borderId="0" applyNumberFormat="0" applyBorder="0" applyAlignment="0" applyProtection="0"/>
    <xf numFmtId="0" fontId="16" fillId="2" borderId="7" applyNumberFormat="0" applyFont="0" applyAlignment="0" applyProtection="0"/>
    <xf numFmtId="0" fontId="24" fillId="12" borderId="0" applyNumberFormat="0" applyBorder="0" applyAlignment="0" applyProtection="0"/>
    <xf numFmtId="0" fontId="25" fillId="0" borderId="0" applyNumberFormat="0" applyFill="0" applyBorder="0" applyAlignment="0" applyProtection="0"/>
    <xf numFmtId="0" fontId="26" fillId="0" borderId="8" applyNumberFormat="0" applyFill="0" applyAlignment="0" applyProtection="0"/>
    <xf numFmtId="0" fontId="27" fillId="0" borderId="9" applyNumberFormat="0" applyFill="0" applyAlignment="0" applyProtection="0"/>
    <xf numFmtId="0" fontId="28" fillId="0" borderId="10" applyNumberFormat="0" applyFill="0" applyAlignment="0" applyProtection="0"/>
    <xf numFmtId="0" fontId="28" fillId="0" borderId="0" applyNumberFormat="0" applyFill="0" applyBorder="0" applyAlignment="0" applyProtection="0"/>
    <xf numFmtId="0" fontId="29" fillId="0" borderId="11" applyNumberFormat="0" applyFill="0" applyAlignment="0" applyProtection="0"/>
    <xf numFmtId="0" fontId="29" fillId="0" borderId="0" applyNumberFormat="0" applyFill="0" applyBorder="0" applyAlignment="0" applyProtection="0"/>
    <xf numFmtId="0" fontId="30" fillId="13" borderId="12" applyNumberFormat="0" applyAlignment="0" applyProtection="0"/>
    <xf numFmtId="9" fontId="31" fillId="0" borderId="0" applyFont="0" applyFill="0" applyBorder="0" applyAlignment="0" applyProtection="0"/>
    <xf numFmtId="166" fontId="33" fillId="0" borderId="0" applyFont="0" applyFill="0" applyBorder="0" applyAlignment="0" applyProtection="0"/>
    <xf numFmtId="0" fontId="39" fillId="0" borderId="0" applyNumberFormat="0" applyFill="0" applyBorder="0" applyAlignment="0" applyProtection="0"/>
    <xf numFmtId="0" fontId="15" fillId="0" borderId="0"/>
    <xf numFmtId="9" fontId="15" fillId="0" borderId="0" applyFont="0" applyFill="0" applyBorder="0" applyAlignment="0" applyProtection="0"/>
    <xf numFmtId="0" fontId="15" fillId="0" borderId="0"/>
    <xf numFmtId="0" fontId="14" fillId="0" borderId="0"/>
    <xf numFmtId="164" fontId="15" fillId="0" borderId="0" applyFont="0" applyFill="0" applyBorder="0" applyAlignment="0" applyProtection="0"/>
    <xf numFmtId="0" fontId="15" fillId="0" borderId="0"/>
    <xf numFmtId="164" fontId="15" fillId="0" borderId="0" applyFont="0" applyFill="0" applyBorder="0" applyAlignment="0" applyProtection="0"/>
    <xf numFmtId="164" fontId="15" fillId="0" borderId="0" applyFont="0" applyFill="0" applyBorder="0" applyAlignment="0" applyProtection="0"/>
    <xf numFmtId="0" fontId="42" fillId="0" borderId="0"/>
    <xf numFmtId="165" fontId="15" fillId="0" borderId="0" applyFont="0" applyFill="0" applyBorder="0" applyAlignment="0" applyProtection="0"/>
    <xf numFmtId="0" fontId="13" fillId="0" borderId="0"/>
    <xf numFmtId="0" fontId="12" fillId="0" borderId="0"/>
    <xf numFmtId="0" fontId="43" fillId="0" borderId="0"/>
    <xf numFmtId="0" fontId="11" fillId="0" borderId="0"/>
    <xf numFmtId="0" fontId="10" fillId="0" borderId="0"/>
    <xf numFmtId="0" fontId="15" fillId="2" borderId="7" applyNumberFormat="0" applyFont="0" applyAlignment="0" applyProtection="0"/>
    <xf numFmtId="166" fontId="15" fillId="0" borderId="0" applyFont="0" applyFill="0" applyBorder="0" applyAlignment="0" applyProtection="0"/>
    <xf numFmtId="0" fontId="9" fillId="0" borderId="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5" fontId="15" fillId="0" borderId="0" applyFont="0" applyFill="0" applyBorder="0" applyAlignment="0" applyProtection="0"/>
    <xf numFmtId="0" fontId="9" fillId="0" borderId="0"/>
    <xf numFmtId="0" fontId="9" fillId="0" borderId="0"/>
    <xf numFmtId="0" fontId="15" fillId="0" borderId="0"/>
    <xf numFmtId="0" fontId="9" fillId="0" borderId="0"/>
    <xf numFmtId="0" fontId="9" fillId="0" borderId="0"/>
    <xf numFmtId="9" fontId="9" fillId="0" borderId="0" applyFont="0" applyFill="0" applyBorder="0" applyAlignment="0" applyProtection="0"/>
    <xf numFmtId="0" fontId="9" fillId="0" borderId="0"/>
    <xf numFmtId="9" fontId="8"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9" fontId="5" fillId="0" borderId="0" applyFont="0" applyFill="0" applyBorder="0" applyAlignment="0" applyProtection="0"/>
    <xf numFmtId="0" fontId="39" fillId="0" borderId="0" applyNumberFormat="0" applyFill="0" applyBorder="0" applyAlignment="0" applyProtection="0"/>
    <xf numFmtId="9" fontId="4" fillId="0" borderId="0" applyFont="0" applyFill="0" applyBorder="0" applyAlignment="0" applyProtection="0"/>
    <xf numFmtId="0" fontId="4" fillId="0" borderId="0"/>
    <xf numFmtId="9" fontId="3" fillId="0" borderId="0" applyFont="0" applyFill="0" applyBorder="0" applyAlignment="0" applyProtection="0"/>
    <xf numFmtId="9" fontId="2" fillId="0" borderId="0" applyFont="0" applyFill="0" applyBorder="0" applyAlignment="0" applyProtection="0"/>
    <xf numFmtId="0" fontId="15" fillId="0" borderId="0"/>
    <xf numFmtId="9" fontId="1" fillId="0" borderId="0" applyFont="0" applyFill="0" applyBorder="0" applyAlignment="0" applyProtection="0"/>
  </cellStyleXfs>
  <cellXfs count="1370">
    <xf numFmtId="0" fontId="0" fillId="0" borderId="0" xfId="0"/>
    <xf numFmtId="0" fontId="0" fillId="0" borderId="0" xfId="0" applyAlignment="1">
      <alignment horizontal="center"/>
    </xf>
    <xf numFmtId="0" fontId="44" fillId="0" borderId="0" xfId="0" applyFont="1" applyAlignment="1">
      <alignment horizontal="center" vertical="center"/>
    </xf>
    <xf numFmtId="0" fontId="44" fillId="0" borderId="0" xfId="0" applyFont="1" applyAlignment="1">
      <alignment horizontal="left" indent="2"/>
    </xf>
    <xf numFmtId="0" fontId="44" fillId="0" borderId="0" xfId="0" applyFont="1" applyAlignment="1">
      <alignment horizontal="center"/>
    </xf>
    <xf numFmtId="0" fontId="44" fillId="0" borderId="0" xfId="0" applyFont="1"/>
    <xf numFmtId="0" fontId="44" fillId="0" borderId="0" xfId="0" applyFont="1" applyAlignment="1">
      <alignment horizontal="center" vertical="center" wrapText="1"/>
    </xf>
    <xf numFmtId="0" fontId="44" fillId="0" borderId="0" xfId="0" applyFont="1" applyAlignment="1">
      <alignment horizontal="left" wrapText="1" indent="1"/>
    </xf>
    <xf numFmtId="0" fontId="44" fillId="0" borderId="0" xfId="0" applyFont="1" applyAlignment="1">
      <alignment horizontal="center" wrapText="1"/>
    </xf>
    <xf numFmtId="173" fontId="44" fillId="0" borderId="0" xfId="0" applyNumberFormat="1" applyFont="1" applyAlignment="1">
      <alignment horizontal="center" vertical="center" wrapText="1"/>
    </xf>
    <xf numFmtId="0" fontId="44" fillId="0" borderId="0" xfId="0" applyFont="1" applyAlignment="1">
      <alignment horizontal="left" vertical="center" wrapText="1" indent="1"/>
    </xf>
    <xf numFmtId="0" fontId="44" fillId="0" borderId="0" xfId="0" quotePrefix="1" applyFont="1" applyAlignment="1">
      <alignment horizontal="center" vertical="center" wrapText="1"/>
    </xf>
    <xf numFmtId="14" fontId="44" fillId="0" borderId="0" xfId="0" applyNumberFormat="1" applyFont="1" applyAlignment="1">
      <alignment horizontal="center" vertical="center" wrapText="1"/>
    </xf>
    <xf numFmtId="0" fontId="44" fillId="0" borderId="0" xfId="0" applyFont="1" applyAlignment="1">
      <alignment vertical="center"/>
    </xf>
    <xf numFmtId="0" fontId="48" fillId="0" borderId="0" xfId="0" applyFont="1" applyAlignment="1">
      <alignment horizontal="center" vertical="center" wrapText="1"/>
    </xf>
    <xf numFmtId="0" fontId="49" fillId="0" borderId="29" xfId="0" applyFont="1" applyBorder="1" applyAlignment="1">
      <alignment vertical="center"/>
    </xf>
    <xf numFmtId="171" fontId="49" fillId="0" borderId="29" xfId="0" applyNumberFormat="1" applyFont="1" applyBorder="1" applyAlignment="1">
      <alignment horizontal="center" vertical="center" wrapText="1"/>
    </xf>
    <xf numFmtId="0" fontId="49" fillId="0" borderId="28" xfId="0" applyFont="1" applyBorder="1" applyAlignment="1">
      <alignment vertical="center"/>
    </xf>
    <xf numFmtId="1" fontId="44" fillId="0" borderId="28" xfId="0" applyNumberFormat="1" applyFont="1" applyBorder="1" applyAlignment="1">
      <alignment horizontal="center" vertical="center"/>
    </xf>
    <xf numFmtId="0" fontId="44" fillId="0" borderId="0" xfId="0" applyFont="1" applyAlignment="1">
      <alignment vertical="center" wrapText="1"/>
    </xf>
    <xf numFmtId="1" fontId="51" fillId="21" borderId="6" xfId="0" applyNumberFormat="1" applyFont="1" applyFill="1" applyBorder="1" applyAlignment="1" applyProtection="1">
      <alignment horizontal="left"/>
      <protection locked="0"/>
    </xf>
    <xf numFmtId="0" fontId="51" fillId="18" borderId="6" xfId="0" applyFont="1" applyFill="1" applyBorder="1" applyAlignment="1">
      <alignment horizontal="center"/>
    </xf>
    <xf numFmtId="49" fontId="51" fillId="19" borderId="6" xfId="0" applyNumberFormat="1" applyFont="1" applyFill="1" applyBorder="1" applyAlignment="1" applyProtection="1">
      <alignment horizontal="left"/>
      <protection locked="0"/>
    </xf>
    <xf numFmtId="49" fontId="51" fillId="19" borderId="6" xfId="0" applyNumberFormat="1" applyFont="1" applyFill="1" applyBorder="1" applyAlignment="1" applyProtection="1">
      <alignment horizontal="center"/>
      <protection locked="0"/>
    </xf>
    <xf numFmtId="1" fontId="51" fillId="19" borderId="6" xfId="0" applyNumberFormat="1" applyFont="1" applyFill="1" applyBorder="1" applyAlignment="1" applyProtection="1">
      <alignment horizontal="center"/>
      <protection locked="0"/>
    </xf>
    <xf numFmtId="171" fontId="51" fillId="19" borderId="5" xfId="0" applyNumberFormat="1" applyFont="1" applyFill="1" applyBorder="1" applyAlignment="1" applyProtection="1">
      <alignment horizontal="center"/>
      <protection locked="0"/>
    </xf>
    <xf numFmtId="1" fontId="51" fillId="21" borderId="6" xfId="0" applyNumberFormat="1" applyFont="1" applyFill="1" applyBorder="1" applyAlignment="1" applyProtection="1">
      <alignment horizontal="center"/>
      <protection locked="0"/>
    </xf>
    <xf numFmtId="3" fontId="51" fillId="21" borderId="6" xfId="0" applyNumberFormat="1" applyFont="1" applyFill="1" applyBorder="1" applyAlignment="1" applyProtection="1">
      <alignment horizontal="center"/>
      <protection locked="0"/>
    </xf>
    <xf numFmtId="0" fontId="51" fillId="19" borderId="6" xfId="0" applyFont="1" applyFill="1" applyBorder="1" applyProtection="1">
      <protection locked="0"/>
    </xf>
    <xf numFmtId="173" fontId="51" fillId="19" borderId="6" xfId="0" applyNumberFormat="1" applyFont="1" applyFill="1" applyBorder="1" applyAlignment="1" applyProtection="1">
      <alignment horizontal="left"/>
      <protection locked="0"/>
    </xf>
    <xf numFmtId="0" fontId="52" fillId="0" borderId="0" xfId="0" applyFont="1"/>
    <xf numFmtId="0" fontId="53" fillId="0" borderId="0" xfId="0" applyFont="1"/>
    <xf numFmtId="0" fontId="54" fillId="0" borderId="0" xfId="0" applyFont="1"/>
    <xf numFmtId="0" fontId="55" fillId="0" borderId="0" xfId="0" applyFont="1" applyAlignment="1">
      <alignment horizontal="left"/>
    </xf>
    <xf numFmtId="0" fontId="44" fillId="0" borderId="0" xfId="0" applyFont="1" applyAlignment="1">
      <alignment horizontal="left"/>
    </xf>
    <xf numFmtId="1" fontId="44" fillId="0" borderId="0" xfId="0" applyNumberFormat="1" applyFont="1" applyAlignment="1">
      <alignment horizontal="left"/>
    </xf>
    <xf numFmtId="2" fontId="44" fillId="0" borderId="0" xfId="0" applyNumberFormat="1" applyFont="1" applyAlignment="1">
      <alignment horizontal="left"/>
    </xf>
    <xf numFmtId="0" fontId="52" fillId="0" borderId="0" xfId="0" applyFont="1" applyAlignment="1">
      <alignment horizontal="left"/>
    </xf>
    <xf numFmtId="0" fontId="53" fillId="0" borderId="0" xfId="0" applyFont="1" applyAlignment="1">
      <alignment horizontal="left"/>
    </xf>
    <xf numFmtId="1" fontId="53" fillId="0" borderId="0" xfId="0" applyNumberFormat="1" applyFont="1" applyAlignment="1">
      <alignment horizontal="left"/>
    </xf>
    <xf numFmtId="2" fontId="53" fillId="0" borderId="0" xfId="0" applyNumberFormat="1" applyFont="1" applyAlignment="1">
      <alignment horizontal="left"/>
    </xf>
    <xf numFmtId="171" fontId="44" fillId="0" borderId="0" xfId="0" applyNumberFormat="1" applyFont="1" applyAlignment="1">
      <alignment horizontal="center"/>
    </xf>
    <xf numFmtId="2" fontId="44" fillId="0" borderId="0" xfId="0" applyNumberFormat="1" applyFont="1" applyAlignment="1">
      <alignment horizontal="center"/>
    </xf>
    <xf numFmtId="1" fontId="44" fillId="0" borderId="0" xfId="0" applyNumberFormat="1" applyFont="1" applyAlignment="1">
      <alignment horizontal="center"/>
    </xf>
    <xf numFmtId="0" fontId="56" fillId="0" borderId="0" xfId="0" applyFont="1" applyAlignment="1" applyProtection="1">
      <alignment horizontal="center" vertical="center"/>
      <protection locked="0"/>
    </xf>
    <xf numFmtId="0" fontId="57" fillId="18" borderId="0" xfId="0" applyFont="1" applyFill="1" applyProtection="1">
      <protection locked="0"/>
    </xf>
    <xf numFmtId="1" fontId="57" fillId="18" borderId="0" xfId="0" applyNumberFormat="1" applyFont="1" applyFill="1" applyProtection="1">
      <protection locked="0"/>
    </xf>
    <xf numFmtId="0" fontId="57" fillId="18" borderId="0" xfId="0" applyFont="1" applyFill="1" applyAlignment="1" applyProtection="1">
      <alignment horizontal="center"/>
      <protection locked="0"/>
    </xf>
    <xf numFmtId="0" fontId="58" fillId="18" borderId="0" xfId="0" applyFont="1" applyFill="1" applyProtection="1">
      <protection locked="0"/>
    </xf>
    <xf numFmtId="0" fontId="58" fillId="18" borderId="0" xfId="0" applyFont="1" applyFill="1" applyAlignment="1" applyProtection="1">
      <alignment horizontal="center"/>
      <protection locked="0"/>
    </xf>
    <xf numFmtId="9" fontId="58" fillId="18" borderId="0" xfId="24" applyFont="1" applyFill="1" applyProtection="1">
      <protection locked="0"/>
    </xf>
    <xf numFmtId="0" fontId="59" fillId="18" borderId="0" xfId="0" applyFont="1" applyFill="1" applyProtection="1">
      <protection locked="0"/>
    </xf>
    <xf numFmtId="0" fontId="60" fillId="18" borderId="0" xfId="0" applyFont="1" applyFill="1" applyProtection="1">
      <protection locked="0"/>
    </xf>
    <xf numFmtId="0" fontId="57" fillId="18" borderId="0" xfId="0" applyFont="1" applyFill="1" applyAlignment="1">
      <alignment horizontal="center" vertical="center"/>
    </xf>
    <xf numFmtId="1" fontId="60" fillId="18" borderId="0" xfId="0" applyNumberFormat="1" applyFont="1" applyFill="1" applyAlignment="1">
      <alignment horizontal="center"/>
    </xf>
    <xf numFmtId="0" fontId="60" fillId="18" borderId="0" xfId="0" applyFont="1" applyFill="1" applyAlignment="1">
      <alignment horizontal="center"/>
    </xf>
    <xf numFmtId="0" fontId="60" fillId="18" borderId="0" xfId="0" applyFont="1" applyFill="1" applyAlignment="1" applyProtection="1">
      <alignment horizontal="center"/>
      <protection locked="0"/>
    </xf>
    <xf numFmtId="169" fontId="60" fillId="18" borderId="0" xfId="25" applyNumberFormat="1" applyFont="1" applyFill="1" applyAlignment="1" applyProtection="1">
      <alignment horizontal="center"/>
      <protection locked="0"/>
    </xf>
    <xf numFmtId="166" fontId="60" fillId="18" borderId="0" xfId="25" applyFont="1" applyFill="1" applyAlignment="1" applyProtection="1">
      <alignment horizontal="center"/>
      <protection locked="0"/>
    </xf>
    <xf numFmtId="168" fontId="60" fillId="18" borderId="0" xfId="25" applyNumberFormat="1" applyFont="1" applyFill="1" applyAlignment="1" applyProtection="1">
      <alignment horizontal="center"/>
      <protection locked="0"/>
    </xf>
    <xf numFmtId="1" fontId="60" fillId="18" borderId="0" xfId="25" applyNumberFormat="1" applyFont="1" applyFill="1" applyAlignment="1" applyProtection="1">
      <alignment horizontal="center"/>
      <protection locked="0"/>
    </xf>
    <xf numFmtId="0" fontId="61" fillId="18" borderId="0" xfId="0" applyFont="1" applyFill="1" applyAlignment="1" applyProtection="1">
      <alignment horizontal="center"/>
      <protection locked="0"/>
    </xf>
    <xf numFmtId="2" fontId="57" fillId="18" borderId="0" xfId="0" applyNumberFormat="1" applyFont="1" applyFill="1" applyAlignment="1" applyProtection="1">
      <alignment horizontal="center"/>
      <protection locked="0"/>
    </xf>
    <xf numFmtId="2" fontId="61" fillId="18" borderId="0" xfId="0" applyNumberFormat="1" applyFont="1" applyFill="1" applyAlignment="1" applyProtection="1">
      <alignment horizontal="center"/>
      <protection locked="0"/>
    </xf>
    <xf numFmtId="0" fontId="57" fillId="0" borderId="0" xfId="0" applyFont="1" applyProtection="1">
      <protection locked="0"/>
    </xf>
    <xf numFmtId="0" fontId="62" fillId="0" borderId="0" xfId="0" applyFont="1" applyAlignment="1" applyProtection="1">
      <alignment horizontal="center" vertical="center"/>
      <protection locked="0"/>
    </xf>
    <xf numFmtId="1" fontId="62" fillId="0" borderId="0" xfId="0" applyNumberFormat="1" applyFont="1" applyAlignment="1" applyProtection="1">
      <alignment horizontal="center" vertical="center"/>
      <protection locked="0"/>
    </xf>
    <xf numFmtId="1" fontId="62" fillId="0" borderId="0" xfId="0" applyNumberFormat="1" applyFont="1" applyAlignment="1">
      <alignment horizontal="center" vertical="center"/>
    </xf>
    <xf numFmtId="0" fontId="62" fillId="0" borderId="0" xfId="0" applyFont="1" applyAlignment="1">
      <alignment horizontal="center" vertical="center"/>
    </xf>
    <xf numFmtId="2" fontId="62" fillId="0" borderId="0" xfId="0" applyNumberFormat="1" applyFont="1" applyAlignment="1" applyProtection="1">
      <alignment horizontal="center" vertical="center"/>
      <protection locked="0"/>
    </xf>
    <xf numFmtId="0" fontId="60" fillId="0" borderId="0" xfId="0" applyFont="1" applyAlignment="1" applyProtection="1">
      <alignment horizontal="center" vertical="center"/>
      <protection locked="0"/>
    </xf>
    <xf numFmtId="0" fontId="57" fillId="0" borderId="0" xfId="0" applyFont="1" applyAlignment="1" applyProtection="1">
      <alignment horizontal="center" vertical="center"/>
      <protection locked="0"/>
    </xf>
    <xf numFmtId="0" fontId="61" fillId="0" borderId="0" xfId="0" applyFont="1" applyAlignment="1" applyProtection="1">
      <alignment horizontal="center"/>
      <protection locked="0"/>
    </xf>
    <xf numFmtId="0" fontId="57" fillId="0" borderId="0" xfId="0" applyFont="1" applyAlignment="1" applyProtection="1">
      <alignment horizontal="center"/>
      <protection locked="0"/>
    </xf>
    <xf numFmtId="0" fontId="60" fillId="0" borderId="84" xfId="0" applyFont="1" applyBorder="1" applyAlignment="1" applyProtection="1">
      <alignment horizontal="center" vertical="center"/>
      <protection locked="0"/>
    </xf>
    <xf numFmtId="0" fontId="60" fillId="0" borderId="83" xfId="0" applyFont="1" applyBorder="1" applyAlignment="1" applyProtection="1">
      <alignment horizontal="center" vertical="center"/>
      <protection locked="0"/>
    </xf>
    <xf numFmtId="1" fontId="57" fillId="0" borderId="0" xfId="0" applyNumberFormat="1" applyFont="1" applyProtection="1">
      <protection locked="0"/>
    </xf>
    <xf numFmtId="0" fontId="58" fillId="0" borderId="0" xfId="0" applyFont="1" applyProtection="1">
      <protection locked="0"/>
    </xf>
    <xf numFmtId="0" fontId="58" fillId="0" borderId="0" xfId="0" applyFont="1" applyAlignment="1" applyProtection="1">
      <alignment horizontal="center"/>
      <protection locked="0"/>
    </xf>
    <xf numFmtId="9" fontId="58" fillId="0" borderId="0" xfId="24" applyFont="1" applyProtection="1">
      <protection locked="0"/>
    </xf>
    <xf numFmtId="0" fontId="59" fillId="0" borderId="0" xfId="0" applyFont="1" applyProtection="1">
      <protection locked="0"/>
    </xf>
    <xf numFmtId="0" fontId="60" fillId="0" borderId="0" xfId="0" applyFont="1" applyProtection="1">
      <protection locked="0"/>
    </xf>
    <xf numFmtId="0" fontId="57" fillId="0" borderId="16" xfId="0" applyFont="1" applyBorder="1" applyAlignment="1">
      <alignment horizontal="center" vertical="center"/>
    </xf>
    <xf numFmtId="1" fontId="60" fillId="0" borderId="0" xfId="0" applyNumberFormat="1" applyFont="1" applyAlignment="1">
      <alignment horizontal="center"/>
    </xf>
    <xf numFmtId="0" fontId="60" fillId="0" borderId="0" xfId="0" applyFont="1" applyAlignment="1">
      <alignment horizontal="center"/>
    </xf>
    <xf numFmtId="0" fontId="60" fillId="0" borderId="0" xfId="0" applyFont="1" applyAlignment="1" applyProtection="1">
      <alignment horizontal="center"/>
      <protection locked="0"/>
    </xf>
    <xf numFmtId="0" fontId="60" fillId="0" borderId="84" xfId="0" applyFont="1" applyBorder="1" applyAlignment="1" applyProtection="1">
      <alignment horizontal="center"/>
      <protection locked="0"/>
    </xf>
    <xf numFmtId="0" fontId="60" fillId="0" borderId="83" xfId="0" applyFont="1" applyBorder="1" applyAlignment="1" applyProtection="1">
      <alignment horizontal="center"/>
      <protection locked="0"/>
    </xf>
    <xf numFmtId="169" fontId="60" fillId="0" borderId="83" xfId="25" applyNumberFormat="1" applyFont="1" applyBorder="1" applyAlignment="1" applyProtection="1">
      <alignment horizontal="center"/>
      <protection locked="0"/>
    </xf>
    <xf numFmtId="166" fontId="60" fillId="0" borderId="84" xfId="25" applyFont="1" applyBorder="1" applyAlignment="1" applyProtection="1">
      <alignment horizontal="center"/>
      <protection locked="0"/>
    </xf>
    <xf numFmtId="168" fontId="60" fillId="0" borderId="83" xfId="25" applyNumberFormat="1" applyFont="1" applyBorder="1" applyAlignment="1" applyProtection="1">
      <alignment horizontal="center"/>
      <protection locked="0"/>
    </xf>
    <xf numFmtId="1" fontId="60" fillId="0" borderId="83" xfId="25" applyNumberFormat="1" applyFont="1" applyBorder="1" applyAlignment="1" applyProtection="1">
      <alignment horizontal="center"/>
      <protection locked="0"/>
    </xf>
    <xf numFmtId="2" fontId="57" fillId="0" borderId="0" xfId="0" applyNumberFormat="1" applyFont="1" applyAlignment="1" applyProtection="1">
      <alignment horizontal="center"/>
      <protection locked="0"/>
    </xf>
    <xf numFmtId="2" fontId="61" fillId="0" borderId="0" xfId="0" applyNumberFormat="1" applyFont="1" applyAlignment="1" applyProtection="1">
      <alignment horizontal="center"/>
      <protection locked="0"/>
    </xf>
    <xf numFmtId="0" fontId="57" fillId="0" borderId="0" xfId="0" applyFont="1" applyAlignment="1" applyProtection="1">
      <alignment horizontal="left"/>
      <protection locked="0"/>
    </xf>
    <xf numFmtId="4" fontId="61" fillId="0" borderId="0" xfId="0" applyNumberFormat="1" applyFont="1" applyAlignment="1" applyProtection="1">
      <alignment vertical="center" wrapText="1"/>
      <protection locked="0"/>
    </xf>
    <xf numFmtId="0" fontId="57" fillId="0" borderId="0" xfId="0" applyFont="1" applyAlignment="1">
      <alignment horizontal="center" vertical="center"/>
    </xf>
    <xf numFmtId="0" fontId="58" fillId="0" borderId="0" xfId="0" applyFont="1" applyAlignment="1" applyProtection="1">
      <alignment horizontal="center" vertical="center"/>
      <protection locked="0"/>
    </xf>
    <xf numFmtId="9" fontId="58" fillId="0" borderId="0" xfId="24" applyFont="1" applyAlignment="1" applyProtection="1">
      <alignment horizontal="center" vertical="center"/>
      <protection locked="0"/>
    </xf>
    <xf numFmtId="0" fontId="59" fillId="0" borderId="0" xfId="0" applyFont="1" applyAlignment="1" applyProtection="1">
      <alignment horizontal="center" vertical="center"/>
      <protection locked="0"/>
    </xf>
    <xf numFmtId="0" fontId="59" fillId="0" borderId="0" xfId="0" applyFont="1" applyAlignment="1" applyProtection="1">
      <alignment vertical="center"/>
      <protection locked="0"/>
    </xf>
    <xf numFmtId="0" fontId="63" fillId="0" borderId="0" xfId="0" applyFont="1" applyAlignment="1" applyProtection="1">
      <alignment vertical="center"/>
      <protection locked="0"/>
    </xf>
    <xf numFmtId="1" fontId="60" fillId="0" borderId="0" xfId="0" applyNumberFormat="1" applyFont="1" applyAlignment="1">
      <alignment horizontal="center" vertical="center"/>
    </xf>
    <xf numFmtId="0" fontId="60" fillId="0" borderId="0" xfId="0" applyFont="1" applyAlignment="1">
      <alignment horizontal="center" vertical="center"/>
    </xf>
    <xf numFmtId="169" fontId="60" fillId="0" borderId="83" xfId="25" applyNumberFormat="1" applyFont="1" applyFill="1" applyBorder="1" applyAlignment="1" applyProtection="1">
      <alignment horizontal="center" vertical="center"/>
      <protection locked="0"/>
    </xf>
    <xf numFmtId="166" fontId="60" fillId="0" borderId="84" xfId="25" applyFont="1" applyFill="1" applyBorder="1" applyAlignment="1" applyProtection="1">
      <alignment horizontal="center" vertical="center"/>
      <protection locked="0"/>
    </xf>
    <xf numFmtId="168" fontId="60" fillId="0" borderId="83" xfId="25" applyNumberFormat="1" applyFont="1" applyFill="1" applyBorder="1" applyAlignment="1" applyProtection="1">
      <alignment horizontal="center" vertical="center"/>
      <protection locked="0"/>
    </xf>
    <xf numFmtId="1" fontId="60" fillId="0" borderId="83" xfId="25" applyNumberFormat="1" applyFont="1" applyFill="1" applyBorder="1" applyAlignment="1" applyProtection="1">
      <alignment horizontal="center" vertical="center"/>
      <protection locked="0"/>
    </xf>
    <xf numFmtId="0" fontId="61" fillId="0" borderId="0" xfId="0" applyFont="1" applyAlignment="1" applyProtection="1">
      <alignment vertical="center"/>
      <protection locked="0"/>
    </xf>
    <xf numFmtId="170" fontId="58" fillId="0" borderId="0" xfId="0" applyNumberFormat="1" applyFont="1" applyAlignment="1" applyProtection="1">
      <alignment vertical="center"/>
      <protection locked="0"/>
    </xf>
    <xf numFmtId="2" fontId="61" fillId="0" borderId="0" xfId="0" applyNumberFormat="1" applyFont="1" applyAlignment="1" applyProtection="1">
      <alignment horizontal="right" vertical="center"/>
      <protection locked="0"/>
    </xf>
    <xf numFmtId="0" fontId="61" fillId="0" borderId="0" xfId="0" applyFont="1" applyAlignment="1" applyProtection="1">
      <alignment horizontal="center" vertical="center" wrapText="1"/>
      <protection locked="0"/>
    </xf>
    <xf numFmtId="9" fontId="58" fillId="0" borderId="0" xfId="24" applyFont="1" applyFill="1" applyAlignment="1" applyProtection="1">
      <alignment horizontal="center" vertical="center"/>
      <protection locked="0"/>
    </xf>
    <xf numFmtId="0" fontId="61" fillId="0" borderId="16" xfId="0" applyFont="1" applyBorder="1" applyAlignment="1">
      <alignment horizontal="center" vertical="center"/>
    </xf>
    <xf numFmtId="0" fontId="61" fillId="0" borderId="0" xfId="0" applyFont="1" applyAlignment="1" applyProtection="1">
      <alignment horizontal="center" vertical="center"/>
      <protection locked="0"/>
    </xf>
    <xf numFmtId="2" fontId="57" fillId="0" borderId="0" xfId="0" applyNumberFormat="1" applyFont="1" applyAlignment="1" applyProtection="1">
      <alignment horizontal="center" vertical="center"/>
      <protection locked="0"/>
    </xf>
    <xf numFmtId="2" fontId="61" fillId="0" borderId="0" xfId="0" applyNumberFormat="1" applyFont="1" applyAlignment="1" applyProtection="1">
      <alignment horizontal="center" vertical="center"/>
      <protection locked="0"/>
    </xf>
    <xf numFmtId="2" fontId="61" fillId="0" borderId="0" xfId="0" applyNumberFormat="1" applyFont="1" applyAlignment="1" applyProtection="1">
      <alignment vertical="center"/>
      <protection locked="0"/>
    </xf>
    <xf numFmtId="4" fontId="61" fillId="0" borderId="0" xfId="0" applyNumberFormat="1" applyFont="1" applyAlignment="1" applyProtection="1">
      <alignment horizontal="center" vertical="center" wrapText="1"/>
      <protection locked="0"/>
    </xf>
    <xf numFmtId="0" fontId="57" fillId="0" borderId="0" xfId="0" applyFont="1" applyAlignment="1" applyProtection="1">
      <alignment vertical="center"/>
      <protection locked="0"/>
    </xf>
    <xf numFmtId="1" fontId="57" fillId="0" borderId="0" xfId="0" applyNumberFormat="1" applyFont="1" applyAlignment="1" applyProtection="1">
      <alignment vertical="center"/>
      <protection locked="0"/>
    </xf>
    <xf numFmtId="0" fontId="58" fillId="0" borderId="0" xfId="0" applyFont="1" applyAlignment="1" applyProtection="1">
      <alignment vertical="center"/>
      <protection locked="0"/>
    </xf>
    <xf numFmtId="9" fontId="58" fillId="0" borderId="0" xfId="24" applyFont="1" applyAlignment="1" applyProtection="1">
      <alignment vertical="center"/>
      <protection locked="0"/>
    </xf>
    <xf numFmtId="0" fontId="60" fillId="0" borderId="0" xfId="0" applyFont="1" applyAlignment="1" applyProtection="1">
      <alignment vertical="center"/>
      <protection locked="0"/>
    </xf>
    <xf numFmtId="0" fontId="57" fillId="0" borderId="0" xfId="0" applyFont="1" applyAlignment="1" applyProtection="1">
      <alignment horizontal="left" vertical="center"/>
      <protection locked="0"/>
    </xf>
    <xf numFmtId="169" fontId="60" fillId="0" borderId="0" xfId="25" applyNumberFormat="1" applyFont="1" applyAlignment="1" applyProtection="1">
      <alignment horizontal="center" vertical="center"/>
      <protection locked="0"/>
    </xf>
    <xf numFmtId="166" fontId="60" fillId="0" borderId="0" xfId="25" applyFont="1" applyAlignment="1" applyProtection="1">
      <alignment horizontal="center" vertical="center"/>
      <protection locked="0"/>
    </xf>
    <xf numFmtId="168" fontId="60" fillId="0" borderId="0" xfId="25" applyNumberFormat="1" applyFont="1" applyAlignment="1" applyProtection="1">
      <alignment horizontal="center" vertical="center"/>
      <protection locked="0"/>
    </xf>
    <xf numFmtId="1" fontId="60" fillId="0" borderId="0" xfId="25" applyNumberFormat="1" applyFont="1" applyAlignment="1" applyProtection="1">
      <alignment horizontal="center" vertical="center"/>
      <protection locked="0"/>
    </xf>
    <xf numFmtId="2" fontId="58" fillId="0" borderId="0" xfId="0" applyNumberFormat="1" applyFont="1" applyAlignment="1" applyProtection="1">
      <alignment horizontal="center" vertical="center"/>
      <protection locked="0"/>
    </xf>
    <xf numFmtId="2" fontId="59"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22" fontId="58" fillId="0" borderId="0" xfId="0" applyNumberFormat="1" applyFont="1" applyAlignment="1" applyProtection="1">
      <alignment vertical="center"/>
      <protection locked="0"/>
    </xf>
    <xf numFmtId="170" fontId="57" fillId="0" borderId="0" xfId="0" applyNumberFormat="1" applyFont="1" applyAlignment="1" applyProtection="1">
      <alignment vertical="center"/>
      <protection locked="0"/>
    </xf>
    <xf numFmtId="171" fontId="57" fillId="0" borderId="0" xfId="0" applyNumberFormat="1" applyFont="1" applyAlignment="1" applyProtection="1">
      <alignment vertical="center"/>
      <protection locked="0"/>
    </xf>
    <xf numFmtId="0" fontId="63" fillId="0" borderId="0" xfId="0" applyFont="1" applyAlignment="1" applyProtection="1">
      <alignment horizontal="center" vertical="center"/>
      <protection locked="0"/>
    </xf>
    <xf numFmtId="2" fontId="60" fillId="0" borderId="0" xfId="0" applyNumberFormat="1" applyFont="1" applyAlignment="1" applyProtection="1">
      <alignment horizontal="center" vertical="center"/>
      <protection locked="0"/>
    </xf>
    <xf numFmtId="2" fontId="63" fillId="0" borderId="0" xfId="0" applyNumberFormat="1" applyFont="1" applyAlignment="1" applyProtection="1">
      <alignment horizontal="center" vertical="center"/>
      <protection locked="0"/>
    </xf>
    <xf numFmtId="169" fontId="60" fillId="0" borderId="0" xfId="25" applyNumberFormat="1" applyFont="1" applyAlignment="1" applyProtection="1">
      <alignment horizontal="center"/>
      <protection locked="0"/>
    </xf>
    <xf numFmtId="166" fontId="60" fillId="0" borderId="0" xfId="25" applyFont="1" applyAlignment="1" applyProtection="1">
      <alignment horizontal="center"/>
      <protection locked="0"/>
    </xf>
    <xf numFmtId="168" fontId="60" fillId="0" borderId="0" xfId="25" applyNumberFormat="1" applyFont="1" applyAlignment="1" applyProtection="1">
      <alignment horizontal="center"/>
      <protection locked="0"/>
    </xf>
    <xf numFmtId="1" fontId="60" fillId="0" borderId="0" xfId="25" applyNumberFormat="1" applyFont="1" applyAlignment="1" applyProtection="1">
      <alignment horizontal="center"/>
      <protection locked="0"/>
    </xf>
    <xf numFmtId="0" fontId="44" fillId="0" borderId="0" xfId="0" applyFont="1" applyAlignment="1">
      <alignment horizontal="right" indent="1"/>
    </xf>
    <xf numFmtId="0" fontId="45" fillId="18" borderId="6" xfId="0" applyFont="1" applyFill="1" applyBorder="1" applyAlignment="1">
      <alignment horizontal="left" vertical="center" indent="1"/>
    </xf>
    <xf numFmtId="2" fontId="68" fillId="16" borderId="6" xfId="0" applyNumberFormat="1" applyFont="1" applyFill="1" applyBorder="1" applyAlignment="1">
      <alignment horizontal="center" vertical="center"/>
    </xf>
    <xf numFmtId="2" fontId="44" fillId="0" borderId="0" xfId="0" applyNumberFormat="1" applyFont="1" applyAlignment="1">
      <alignment horizontal="center" vertical="center"/>
    </xf>
    <xf numFmtId="2" fontId="44" fillId="14" borderId="6" xfId="0" applyNumberFormat="1" applyFont="1" applyFill="1" applyBorder="1" applyAlignment="1">
      <alignment horizontal="center" vertical="center"/>
    </xf>
    <xf numFmtId="2" fontId="44" fillId="14" borderId="0" xfId="0" applyNumberFormat="1" applyFont="1" applyFill="1" applyAlignment="1">
      <alignment horizontal="center" vertical="center"/>
    </xf>
    <xf numFmtId="2" fontId="44" fillId="14" borderId="0" xfId="0" applyNumberFormat="1" applyFont="1" applyFill="1" applyAlignment="1">
      <alignment horizontal="right" vertical="center" indent="1"/>
    </xf>
    <xf numFmtId="0" fontId="44" fillId="0" borderId="0" xfId="0" applyFont="1" applyAlignment="1">
      <alignment horizontal="right" vertical="center" indent="1"/>
    </xf>
    <xf numFmtId="0" fontId="44" fillId="0" borderId="0" xfId="0" applyFont="1" applyAlignment="1">
      <alignment horizontal="right" vertical="center"/>
    </xf>
    <xf numFmtId="1" fontId="44" fillId="0" borderId="26" xfId="0" applyNumberFormat="1" applyFont="1" applyBorder="1" applyAlignment="1">
      <alignment horizontal="center" vertical="center"/>
    </xf>
    <xf numFmtId="2" fontId="49" fillId="14" borderId="6" xfId="0" applyNumberFormat="1" applyFont="1" applyFill="1" applyBorder="1" applyAlignment="1">
      <alignment horizontal="center" vertical="center"/>
    </xf>
    <xf numFmtId="2" fontId="49" fillId="0" borderId="6" xfId="0" applyNumberFormat="1" applyFont="1" applyBorder="1" applyAlignment="1">
      <alignment horizontal="center" vertical="center"/>
    </xf>
    <xf numFmtId="2" fontId="44" fillId="0" borderId="6" xfId="0" applyNumberFormat="1" applyFont="1" applyBorder="1" applyAlignment="1">
      <alignment horizontal="center" vertical="center"/>
    </xf>
    <xf numFmtId="3" fontId="44" fillId="14" borderId="6" xfId="0" applyNumberFormat="1" applyFont="1" applyFill="1" applyBorder="1" applyAlignment="1">
      <alignment horizontal="center" vertical="center"/>
    </xf>
    <xf numFmtId="1" fontId="44" fillId="14" borderId="6" xfId="0" applyNumberFormat="1" applyFont="1" applyFill="1" applyBorder="1" applyAlignment="1">
      <alignment horizontal="center" vertical="center"/>
    </xf>
    <xf numFmtId="0" fontId="45" fillId="18" borderId="22" xfId="0" applyFont="1" applyFill="1" applyBorder="1" applyAlignment="1">
      <alignment horizontal="left" vertical="center" indent="1"/>
    </xf>
    <xf numFmtId="0" fontId="51" fillId="18" borderId="30" xfId="0" applyFont="1" applyFill="1" applyBorder="1" applyAlignment="1">
      <alignment horizontal="right" vertical="center"/>
    </xf>
    <xf numFmtId="1" fontId="51" fillId="18" borderId="6" xfId="0" applyNumberFormat="1" applyFont="1" applyFill="1" applyBorder="1" applyAlignment="1">
      <alignment horizontal="center" vertical="center"/>
    </xf>
    <xf numFmtId="49" fontId="49" fillId="14" borderId="6" xfId="0" applyNumberFormat="1" applyFont="1" applyFill="1" applyBorder="1" applyAlignment="1">
      <alignment horizontal="center" vertical="center"/>
    </xf>
    <xf numFmtId="0" fontId="45" fillId="18" borderId="22" xfId="0" applyFont="1" applyFill="1" applyBorder="1" applyAlignment="1">
      <alignment horizontal="left" vertical="center"/>
    </xf>
    <xf numFmtId="1" fontId="51" fillId="18" borderId="29" xfId="0" applyNumberFormat="1" applyFont="1" applyFill="1" applyBorder="1" applyAlignment="1">
      <alignment horizontal="center" vertical="center"/>
    </xf>
    <xf numFmtId="168" fontId="44" fillId="14" borderId="6" xfId="0" applyNumberFormat="1" applyFont="1" applyFill="1" applyBorder="1" applyAlignment="1">
      <alignment horizontal="center" vertical="center"/>
    </xf>
    <xf numFmtId="0" fontId="51" fillId="18" borderId="5" xfId="0" applyFont="1" applyFill="1" applyBorder="1" applyAlignment="1">
      <alignment horizontal="right" vertical="center"/>
    </xf>
    <xf numFmtId="9" fontId="68" fillId="0" borderId="6" xfId="24" applyFont="1" applyBorder="1" applyAlignment="1">
      <alignment horizontal="center" vertical="center"/>
    </xf>
    <xf numFmtId="10" fontId="44" fillId="0" borderId="6" xfId="24" applyNumberFormat="1" applyFont="1" applyFill="1" applyBorder="1" applyAlignment="1">
      <alignment horizontal="center" vertical="center"/>
    </xf>
    <xf numFmtId="178" fontId="44" fillId="0" borderId="0" xfId="0" applyNumberFormat="1" applyFont="1" applyAlignment="1">
      <alignment horizontal="center" vertical="center"/>
    </xf>
    <xf numFmtId="2" fontId="51" fillId="18" borderId="6" xfId="0" applyNumberFormat="1" applyFont="1" applyFill="1" applyBorder="1" applyAlignment="1">
      <alignment horizontal="center" vertical="center"/>
    </xf>
    <xf numFmtId="2" fontId="44" fillId="0" borderId="0" xfId="0" applyNumberFormat="1" applyFont="1" applyAlignment="1">
      <alignment vertical="center"/>
    </xf>
    <xf numFmtId="0" fontId="49" fillId="18" borderId="22" xfId="0" applyFont="1" applyFill="1" applyBorder="1" applyAlignment="1">
      <alignment horizontal="left" vertical="center"/>
    </xf>
    <xf numFmtId="178" fontId="44" fillId="0" borderId="6" xfId="0" applyNumberFormat="1" applyFont="1" applyBorder="1" applyAlignment="1">
      <alignment horizontal="center" vertical="center"/>
    </xf>
    <xf numFmtId="1" fontId="44" fillId="0" borderId="6" xfId="0" applyNumberFormat="1" applyFont="1" applyBorder="1" applyAlignment="1">
      <alignment horizontal="center" vertical="center"/>
    </xf>
    <xf numFmtId="3" fontId="44" fillId="0" borderId="6" xfId="0" applyNumberFormat="1" applyFont="1" applyBorder="1" applyAlignment="1" applyProtection="1">
      <alignment horizontal="center"/>
      <protection locked="0"/>
    </xf>
    <xf numFmtId="0" fontId="44" fillId="0" borderId="0" xfId="0" applyFont="1" applyAlignment="1">
      <alignment horizontal="right"/>
    </xf>
    <xf numFmtId="168" fontId="44" fillId="0" borderId="0" xfId="0" applyNumberFormat="1" applyFont="1"/>
    <xf numFmtId="9" fontId="44" fillId="0" borderId="0" xfId="24" applyFont="1"/>
    <xf numFmtId="168" fontId="44" fillId="0" borderId="0" xfId="0" applyNumberFormat="1" applyFont="1" applyAlignment="1">
      <alignment horizontal="center"/>
    </xf>
    <xf numFmtId="2" fontId="44" fillId="0" borderId="0" xfId="0" applyNumberFormat="1" applyFont="1"/>
    <xf numFmtId="173" fontId="44" fillId="0" borderId="0" xfId="0" applyNumberFormat="1" applyFont="1"/>
    <xf numFmtId="0" fontId="51" fillId="0" borderId="0" xfId="0" applyFont="1" applyAlignment="1">
      <alignment horizontal="center"/>
    </xf>
    <xf numFmtId="168" fontId="51" fillId="0" borderId="0" xfId="0" applyNumberFormat="1" applyFont="1" applyAlignment="1">
      <alignment horizontal="center"/>
    </xf>
    <xf numFmtId="9" fontId="51" fillId="0" borderId="0" xfId="24" applyFont="1" applyBorder="1" applyAlignment="1">
      <alignment horizontal="center"/>
    </xf>
    <xf numFmtId="2" fontId="51" fillId="0" borderId="0" xfId="0" applyNumberFormat="1" applyFont="1" applyAlignment="1">
      <alignment horizontal="center"/>
    </xf>
    <xf numFmtId="168" fontId="51" fillId="0" borderId="47" xfId="0" applyNumberFormat="1" applyFont="1" applyBorder="1" applyAlignment="1">
      <alignment horizontal="center"/>
    </xf>
    <xf numFmtId="1" fontId="51" fillId="0" borderId="47" xfId="0" applyNumberFormat="1" applyFont="1" applyBorder="1" applyAlignment="1">
      <alignment horizontal="center" vertical="center"/>
    </xf>
    <xf numFmtId="0" fontId="51" fillId="0" borderId="47" xfId="0" applyFont="1" applyBorder="1" applyAlignment="1">
      <alignment horizontal="center" vertical="center"/>
    </xf>
    <xf numFmtId="176" fontId="45" fillId="18" borderId="6" xfId="0" applyNumberFormat="1" applyFont="1" applyFill="1" applyBorder="1" applyAlignment="1">
      <alignment horizontal="center" vertical="center"/>
    </xf>
    <xf numFmtId="0" fontId="44" fillId="16" borderId="6" xfId="0" applyFont="1" applyFill="1" applyBorder="1" applyAlignment="1">
      <alignment horizontal="center" vertical="center"/>
    </xf>
    <xf numFmtId="0" fontId="44" fillId="17" borderId="6" xfId="0" applyFont="1" applyFill="1" applyBorder="1" applyAlignment="1">
      <alignment horizontal="center" vertical="center"/>
    </xf>
    <xf numFmtId="0" fontId="51" fillId="18" borderId="6" xfId="0" applyFont="1" applyFill="1" applyBorder="1" applyAlignment="1">
      <alignment horizontal="center" vertical="center" textRotation="90" wrapText="1"/>
    </xf>
    <xf numFmtId="0" fontId="51" fillId="0" borderId="6" xfId="0" applyFont="1" applyBorder="1" applyAlignment="1">
      <alignment horizontal="center" vertical="center"/>
    </xf>
    <xf numFmtId="0" fontId="51" fillId="0" borderId="6" xfId="0" applyFont="1" applyBorder="1" applyAlignment="1" applyProtection="1">
      <alignment horizontal="center" vertical="center" wrapText="1"/>
      <protection locked="0"/>
    </xf>
    <xf numFmtId="0" fontId="51" fillId="0" borderId="6" xfId="0" applyFont="1" applyBorder="1" applyAlignment="1" applyProtection="1">
      <alignment horizontal="center" vertical="center" textRotation="90" wrapText="1"/>
      <protection locked="0"/>
    </xf>
    <xf numFmtId="9" fontId="51" fillId="0" borderId="6" xfId="24" applyFont="1" applyFill="1" applyBorder="1" applyAlignment="1" applyProtection="1">
      <alignment horizontal="center" vertical="center" textRotation="90" wrapText="1"/>
      <protection locked="0"/>
    </xf>
    <xf numFmtId="0" fontId="51" fillId="0" borderId="6" xfId="0" applyFont="1" applyBorder="1" applyAlignment="1">
      <alignment horizontal="center" vertical="center" wrapText="1"/>
    </xf>
    <xf numFmtId="173" fontId="51" fillId="0" borderId="6" xfId="0" applyNumberFormat="1" applyFont="1" applyBorder="1" applyAlignment="1">
      <alignment horizontal="center" vertical="center" wrapText="1"/>
    </xf>
    <xf numFmtId="0" fontId="51" fillId="0" borderId="28" xfId="0" applyFont="1" applyBorder="1" applyAlignment="1">
      <alignment horizontal="center" vertical="center"/>
    </xf>
    <xf numFmtId="0" fontId="51" fillId="0" borderId="6" xfId="0" applyFont="1" applyBorder="1" applyAlignment="1">
      <alignment horizontal="center" vertical="center" textRotation="90" wrapText="1"/>
    </xf>
    <xf numFmtId="168" fontId="51" fillId="0" borderId="6" xfId="0" applyNumberFormat="1" applyFont="1" applyBorder="1" applyAlignment="1">
      <alignment horizontal="center" vertical="center" textRotation="90" wrapText="1"/>
    </xf>
    <xf numFmtId="0" fontId="51" fillId="0" borderId="0" xfId="0" applyFont="1" applyAlignment="1">
      <alignment horizontal="center" vertical="center"/>
    </xf>
    <xf numFmtId="169" fontId="44" fillId="0" borderId="6" xfId="24" applyNumberFormat="1" applyFont="1" applyFill="1" applyBorder="1" applyAlignment="1" applyProtection="1">
      <alignment horizontal="center" vertical="center"/>
      <protection locked="0"/>
    </xf>
    <xf numFmtId="0" fontId="44" fillId="0" borderId="6" xfId="0" applyFont="1" applyBorder="1" applyAlignment="1">
      <alignment horizontal="center" vertical="center"/>
    </xf>
    <xf numFmtId="0" fontId="44" fillId="14" borderId="0" xfId="0" applyFont="1" applyFill="1"/>
    <xf numFmtId="2" fontId="44" fillId="14" borderId="0" xfId="0" applyNumberFormat="1" applyFont="1" applyFill="1" applyAlignment="1">
      <alignment horizontal="center" vertical="center" wrapText="1"/>
    </xf>
    <xf numFmtId="171" fontId="44" fillId="14" borderId="0" xfId="0" applyNumberFormat="1" applyFont="1" applyFill="1" applyAlignment="1">
      <alignment horizontal="center" vertical="center" wrapText="1"/>
    </xf>
    <xf numFmtId="1" fontId="51" fillId="14" borderId="0" xfId="0" applyNumberFormat="1" applyFont="1" applyFill="1"/>
    <xf numFmtId="1" fontId="51" fillId="14" borderId="0" xfId="0" applyNumberFormat="1" applyFont="1" applyFill="1" applyAlignment="1">
      <alignment horizontal="center" vertical="center" wrapText="1"/>
    </xf>
    <xf numFmtId="171" fontId="51" fillId="14" borderId="0" xfId="0" applyNumberFormat="1" applyFont="1" applyFill="1" applyAlignment="1">
      <alignment horizontal="center" vertical="center" wrapText="1"/>
    </xf>
    <xf numFmtId="1" fontId="51" fillId="0" borderId="0" xfId="0" applyNumberFormat="1" applyFont="1" applyAlignment="1">
      <alignment horizontal="center"/>
    </xf>
    <xf numFmtId="1" fontId="51" fillId="0" borderId="0" xfId="0" applyNumberFormat="1" applyFont="1"/>
    <xf numFmtId="0" fontId="49" fillId="14" borderId="0" xfId="0" applyFont="1" applyFill="1" applyAlignment="1">
      <alignment horizontal="center" vertical="center"/>
    </xf>
    <xf numFmtId="2" fontId="68" fillId="14" borderId="0" xfId="0" applyNumberFormat="1" applyFont="1" applyFill="1" applyAlignment="1">
      <alignment horizontal="center" vertical="center" wrapText="1"/>
    </xf>
    <xf numFmtId="2" fontId="49" fillId="14" borderId="0" xfId="0" applyNumberFormat="1" applyFont="1" applyFill="1" applyAlignment="1">
      <alignment horizontal="center" vertical="center" wrapText="1"/>
    </xf>
    <xf numFmtId="171" fontId="49" fillId="14" borderId="0" xfId="0" applyNumberFormat="1" applyFont="1" applyFill="1" applyAlignment="1">
      <alignment horizontal="center" vertical="center" wrapText="1"/>
    </xf>
    <xf numFmtId="0" fontId="49" fillId="0" borderId="0" xfId="0" applyFont="1" applyAlignment="1">
      <alignment horizontal="center" vertical="center"/>
    </xf>
    <xf numFmtId="0" fontId="44" fillId="14" borderId="0" xfId="0" applyFont="1" applyFill="1" applyAlignment="1">
      <alignment horizontal="center" vertical="center"/>
    </xf>
    <xf numFmtId="4" fontId="51" fillId="18" borderId="6" xfId="0" applyNumberFormat="1" applyFont="1" applyFill="1" applyBorder="1" applyAlignment="1">
      <alignment horizontal="center" vertical="center" wrapText="1"/>
    </xf>
    <xf numFmtId="4" fontId="51" fillId="0" borderId="27" xfId="0" applyNumberFormat="1" applyFont="1" applyBorder="1" applyAlignment="1">
      <alignment horizontal="left" vertical="center"/>
    </xf>
    <xf numFmtId="1" fontId="51" fillId="0" borderId="28" xfId="0" applyNumberFormat="1" applyFont="1" applyBorder="1" applyAlignment="1">
      <alignment horizontal="center" vertical="center"/>
    </xf>
    <xf numFmtId="4" fontId="51" fillId="0" borderId="28" xfId="0" applyNumberFormat="1" applyFont="1" applyBorder="1" applyAlignment="1">
      <alignment horizontal="center" vertical="center"/>
    </xf>
    <xf numFmtId="170" fontId="51" fillId="0" borderId="28" xfId="0" applyNumberFormat="1" applyFont="1" applyBorder="1" applyAlignment="1">
      <alignment horizontal="center" vertical="center"/>
    </xf>
    <xf numFmtId="2" fontId="51" fillId="0" borderId="28" xfId="0" applyNumberFormat="1" applyFont="1" applyBorder="1" applyAlignment="1">
      <alignment horizontal="center" vertical="center"/>
    </xf>
    <xf numFmtId="171" fontId="51" fillId="0" borderId="28" xfId="0" applyNumberFormat="1" applyFont="1" applyBorder="1" applyAlignment="1">
      <alignment horizontal="center" vertical="center"/>
    </xf>
    <xf numFmtId="4" fontId="51" fillId="0" borderId="26" xfId="0" applyNumberFormat="1" applyFont="1" applyBorder="1" applyAlignment="1">
      <alignment horizontal="center" vertical="center"/>
    </xf>
    <xf numFmtId="4" fontId="51" fillId="0" borderId="73" xfId="0" applyNumberFormat="1" applyFont="1" applyBorder="1" applyAlignment="1">
      <alignment horizontal="center" vertical="center"/>
    </xf>
    <xf numFmtId="4" fontId="51" fillId="0" borderId="74" xfId="0" applyNumberFormat="1" applyFont="1" applyBorder="1" applyAlignment="1">
      <alignment horizontal="center" vertical="center"/>
    </xf>
    <xf numFmtId="170" fontId="51" fillId="0" borderId="32" xfId="0" applyNumberFormat="1" applyFont="1" applyBorder="1" applyAlignment="1">
      <alignment horizontal="center" vertical="center"/>
    </xf>
    <xf numFmtId="0" fontId="44" fillId="0" borderId="6" xfId="0" applyFont="1" applyBorder="1" applyAlignment="1">
      <alignment horizontal="center"/>
    </xf>
    <xf numFmtId="0" fontId="51" fillId="0" borderId="0" xfId="0" applyFont="1"/>
    <xf numFmtId="168" fontId="51" fillId="0" borderId="0" xfId="0" applyNumberFormat="1" applyFont="1"/>
    <xf numFmtId="169" fontId="51" fillId="0" borderId="0" xfId="24" applyNumberFormat="1" applyFont="1" applyAlignment="1"/>
    <xf numFmtId="0" fontId="51" fillId="0" borderId="27" xfId="0" applyFont="1" applyBorder="1" applyAlignment="1">
      <alignment horizontal="center" vertical="center"/>
    </xf>
    <xf numFmtId="0" fontId="45" fillId="0" borderId="28" xfId="0" applyFont="1" applyBorder="1" applyAlignment="1">
      <alignment horizontal="center" vertical="center"/>
    </xf>
    <xf numFmtId="10" fontId="45" fillId="0" borderId="28" xfId="0" applyNumberFormat="1" applyFont="1" applyBorder="1" applyAlignment="1">
      <alignment horizontal="center" vertical="center"/>
    </xf>
    <xf numFmtId="168" fontId="45" fillId="0" borderId="28" xfId="0" applyNumberFormat="1" applyFont="1" applyBorder="1" applyAlignment="1">
      <alignment horizontal="center" vertical="center"/>
    </xf>
    <xf numFmtId="169" fontId="45" fillId="0" borderId="28" xfId="24" applyNumberFormat="1" applyFont="1" applyFill="1" applyBorder="1" applyAlignment="1">
      <alignment horizontal="center" vertical="center"/>
    </xf>
    <xf numFmtId="0" fontId="44" fillId="14" borderId="6" xfId="0" applyFont="1" applyFill="1" applyBorder="1" applyAlignment="1">
      <alignment horizontal="left" vertical="center"/>
    </xf>
    <xf numFmtId="169" fontId="44" fillId="0" borderId="6" xfId="0" applyNumberFormat="1" applyFont="1" applyBorder="1" applyAlignment="1">
      <alignment horizontal="center" vertical="center"/>
    </xf>
    <xf numFmtId="0" fontId="44" fillId="14" borderId="6" xfId="0" applyFont="1" applyFill="1" applyBorder="1" applyAlignment="1">
      <alignment horizontal="center" vertical="center"/>
    </xf>
    <xf numFmtId="168" fontId="44" fillId="26" borderId="6" xfId="0" applyNumberFormat="1" applyFont="1" applyFill="1" applyBorder="1" applyAlignment="1">
      <alignment horizontal="center" vertical="center"/>
    </xf>
    <xf numFmtId="169" fontId="44" fillId="14" borderId="6" xfId="24" applyNumberFormat="1" applyFont="1" applyFill="1" applyBorder="1" applyAlignment="1">
      <alignment horizontal="center" vertical="center"/>
    </xf>
    <xf numFmtId="169" fontId="44" fillId="26" borderId="6" xfId="24" applyNumberFormat="1" applyFont="1" applyFill="1" applyBorder="1" applyAlignment="1">
      <alignment horizontal="center" vertical="center"/>
    </xf>
    <xf numFmtId="169" fontId="44" fillId="0" borderId="0" xfId="24" applyNumberFormat="1" applyFont="1" applyAlignment="1"/>
    <xf numFmtId="168" fontId="44" fillId="0" borderId="0" xfId="0" applyNumberFormat="1" applyFont="1" applyAlignment="1">
      <alignment wrapText="1"/>
    </xf>
    <xf numFmtId="2" fontId="44" fillId="0" borderId="29" xfId="0" applyNumberFormat="1" applyFont="1" applyBorder="1" applyAlignment="1">
      <alignment horizontal="center" vertical="center"/>
    </xf>
    <xf numFmtId="0" fontId="69" fillId="0" borderId="0" xfId="0" applyFont="1" applyAlignment="1">
      <alignment horizontal="center" vertical="center"/>
    </xf>
    <xf numFmtId="0" fontId="45" fillId="18" borderId="64" xfId="0" applyFont="1" applyFill="1" applyBorder="1" applyAlignment="1">
      <alignment horizontal="center" vertical="center" wrapText="1"/>
    </xf>
    <xf numFmtId="0" fontId="45" fillId="18" borderId="61" xfId="0" applyFont="1" applyFill="1" applyBorder="1" applyAlignment="1">
      <alignment horizontal="center" vertical="center" wrapText="1"/>
    </xf>
    <xf numFmtId="0" fontId="45" fillId="18" borderId="62" xfId="0" applyFont="1" applyFill="1" applyBorder="1" applyAlignment="1">
      <alignment horizontal="center" vertical="center" wrapText="1"/>
    </xf>
    <xf numFmtId="2" fontId="45" fillId="18" borderId="61" xfId="0" applyNumberFormat="1" applyFont="1" applyFill="1" applyBorder="1" applyAlignment="1">
      <alignment horizontal="center" vertical="center" wrapText="1"/>
    </xf>
    <xf numFmtId="0" fontId="45" fillId="18" borderId="63" xfId="0" applyFont="1" applyFill="1" applyBorder="1" applyAlignment="1">
      <alignment horizontal="center" vertical="center" wrapText="1"/>
    </xf>
    <xf numFmtId="0" fontId="45" fillId="18" borderId="66" xfId="0" applyFont="1" applyFill="1" applyBorder="1" applyAlignment="1">
      <alignment horizontal="center" vertical="center" wrapText="1"/>
    </xf>
    <xf numFmtId="0" fontId="49" fillId="0" borderId="0" xfId="0" applyFont="1" applyAlignment="1">
      <alignment horizontal="center" vertical="center" wrapText="1"/>
    </xf>
    <xf numFmtId="0" fontId="70" fillId="0" borderId="0" xfId="0" applyFont="1" applyAlignment="1">
      <alignment horizontal="center" vertical="center" wrapText="1"/>
    </xf>
    <xf numFmtId="0" fontId="49" fillId="0" borderId="0" xfId="0" applyFont="1" applyAlignment="1">
      <alignment vertical="center" wrapText="1"/>
    </xf>
    <xf numFmtId="0" fontId="51" fillId="0" borderId="0" xfId="0" applyFont="1" applyAlignment="1">
      <alignment horizontal="center" vertical="center" wrapText="1"/>
    </xf>
    <xf numFmtId="0" fontId="51" fillId="0" borderId="13" xfId="0" applyFont="1" applyBorder="1" applyAlignment="1">
      <alignment horizontal="center" vertical="center" wrapText="1"/>
    </xf>
    <xf numFmtId="2" fontId="51" fillId="0" borderId="0" xfId="0" applyNumberFormat="1" applyFont="1" applyAlignment="1">
      <alignment horizontal="center" vertical="center" wrapText="1"/>
    </xf>
    <xf numFmtId="0" fontId="51" fillId="0" borderId="14" xfId="0" applyFont="1" applyBorder="1" applyAlignment="1">
      <alignment horizontal="center" vertical="center" wrapText="1"/>
    </xf>
    <xf numFmtId="0" fontId="45" fillId="0" borderId="0" xfId="0" applyFont="1" applyAlignment="1">
      <alignment horizontal="center" vertical="center" wrapText="1"/>
    </xf>
    <xf numFmtId="0" fontId="51" fillId="0" borderId="0" xfId="0" applyFont="1" applyAlignment="1">
      <alignment vertical="center" wrapText="1"/>
    </xf>
    <xf numFmtId="1" fontId="46" fillId="0" borderId="0" xfId="0" applyNumberFormat="1" applyFont="1" applyAlignment="1">
      <alignment vertical="center"/>
    </xf>
    <xf numFmtId="0" fontId="46" fillId="0" borderId="0" xfId="0" applyFont="1" applyAlignment="1">
      <alignment horizontal="center" vertical="center"/>
    </xf>
    <xf numFmtId="2" fontId="46" fillId="0" borderId="0" xfId="0" applyNumberFormat="1" applyFont="1" applyAlignment="1">
      <alignment horizontal="center" vertical="center"/>
    </xf>
    <xf numFmtId="0" fontId="46" fillId="0" borderId="13" xfId="0" applyFont="1" applyBorder="1" applyAlignment="1">
      <alignment horizontal="center" vertical="center"/>
    </xf>
    <xf numFmtId="0" fontId="46" fillId="0" borderId="14" xfId="0" applyFont="1" applyBorder="1" applyAlignment="1">
      <alignment horizontal="center" vertical="center"/>
    </xf>
    <xf numFmtId="9" fontId="46" fillId="0" borderId="0" xfId="24" applyFont="1" applyFill="1" applyAlignment="1">
      <alignment horizontal="center" vertical="center"/>
    </xf>
    <xf numFmtId="3" fontId="46" fillId="0" borderId="0" xfId="0" applyNumberFormat="1" applyFont="1" applyAlignment="1">
      <alignment horizontal="center" vertical="center"/>
    </xf>
    <xf numFmtId="1" fontId="44" fillId="0" borderId="0" xfId="0" applyNumberFormat="1" applyFont="1" applyAlignment="1">
      <alignment vertical="center"/>
    </xf>
    <xf numFmtId="1" fontId="47" fillId="0" borderId="0" xfId="0" applyNumberFormat="1" applyFont="1" applyAlignment="1">
      <alignment horizontal="center" vertical="center"/>
    </xf>
    <xf numFmtId="2" fontId="44" fillId="0" borderId="14" xfId="0" applyNumberFormat="1" applyFont="1" applyBorder="1" applyAlignment="1">
      <alignment horizontal="center" vertical="center"/>
    </xf>
    <xf numFmtId="9" fontId="44" fillId="0" borderId="13" xfId="24" applyFont="1" applyFill="1" applyBorder="1" applyAlignment="1">
      <alignment horizontal="center" vertical="center"/>
    </xf>
    <xf numFmtId="3" fontId="44" fillId="0" borderId="0" xfId="24" applyNumberFormat="1" applyFont="1" applyFill="1" applyAlignment="1">
      <alignment horizontal="center" vertical="center"/>
    </xf>
    <xf numFmtId="3" fontId="44" fillId="0" borderId="0" xfId="0" applyNumberFormat="1" applyFont="1" applyAlignment="1">
      <alignment horizontal="center" vertical="center"/>
    </xf>
    <xf numFmtId="9" fontId="44" fillId="0" borderId="0" xfId="24" applyFont="1" applyFill="1" applyAlignment="1">
      <alignment horizontal="center" vertical="center"/>
    </xf>
    <xf numFmtId="0" fontId="70" fillId="0" borderId="0" xfId="0" applyFont="1" applyAlignment="1">
      <alignment horizontal="center" vertical="center"/>
    </xf>
    <xf numFmtId="0" fontId="70" fillId="0" borderId="0" xfId="0" applyFont="1" applyAlignment="1">
      <alignment vertical="center"/>
    </xf>
    <xf numFmtId="178" fontId="44" fillId="0" borderId="0" xfId="0" applyNumberFormat="1" applyFont="1"/>
    <xf numFmtId="0" fontId="49" fillId="0" borderId="85" xfId="0" applyFont="1" applyBorder="1" applyAlignment="1">
      <alignment horizontal="left" vertical="center"/>
    </xf>
    <xf numFmtId="0" fontId="49" fillId="0" borderId="0" xfId="0" applyFont="1" applyAlignment="1">
      <alignment horizontal="left" vertical="center"/>
    </xf>
    <xf numFmtId="178" fontId="51" fillId="0" borderId="0" xfId="0" applyNumberFormat="1" applyFont="1" applyAlignment="1">
      <alignment horizontal="center" wrapText="1"/>
    </xf>
    <xf numFmtId="0" fontId="51" fillId="18" borderId="85" xfId="0" applyFont="1" applyFill="1" applyBorder="1" applyAlignment="1">
      <alignment horizontal="right" vertical="center" indent="4"/>
    </xf>
    <xf numFmtId="178" fontId="51" fillId="18" borderId="86" xfId="0" applyNumberFormat="1" applyFont="1" applyFill="1" applyBorder="1" applyAlignment="1">
      <alignment horizontal="center" wrapText="1"/>
    </xf>
    <xf numFmtId="0" fontId="71" fillId="18" borderId="85" xfId="0" applyFont="1" applyFill="1" applyBorder="1" applyAlignment="1">
      <alignment horizontal="right" vertical="center" indent="4"/>
    </xf>
    <xf numFmtId="0" fontId="45" fillId="18" borderId="85" xfId="0" applyFont="1" applyFill="1" applyBorder="1" applyAlignment="1">
      <alignment horizontal="right" vertical="center" indent="3"/>
    </xf>
    <xf numFmtId="178" fontId="45" fillId="18" borderId="86" xfId="0" applyNumberFormat="1" applyFont="1" applyFill="1" applyBorder="1" applyAlignment="1">
      <alignment horizontal="center" wrapText="1"/>
    </xf>
    <xf numFmtId="0" fontId="45" fillId="18" borderId="85" xfId="0" applyFont="1" applyFill="1" applyBorder="1" applyAlignment="1">
      <alignment horizontal="right" vertical="center" indent="2"/>
    </xf>
    <xf numFmtId="0" fontId="51" fillId="18" borderId="85" xfId="0" applyFont="1" applyFill="1" applyBorder="1" applyAlignment="1">
      <alignment horizontal="right" vertical="center" indent="2"/>
    </xf>
    <xf numFmtId="0" fontId="71" fillId="18" borderId="85" xfId="0" applyFont="1" applyFill="1" applyBorder="1" applyAlignment="1">
      <alignment horizontal="right" vertical="center" indent="2"/>
    </xf>
    <xf numFmtId="0" fontId="45" fillId="18" borderId="85" xfId="0" applyFont="1" applyFill="1" applyBorder="1" applyAlignment="1">
      <alignment horizontal="right" vertical="center" indent="1"/>
    </xf>
    <xf numFmtId="0" fontId="51" fillId="18" borderId="85" xfId="0" applyFont="1" applyFill="1" applyBorder="1" applyAlignment="1">
      <alignment horizontal="right" vertical="center" indent="3"/>
    </xf>
    <xf numFmtId="4" fontId="44" fillId="0" borderId="0" xfId="0" applyNumberFormat="1" applyFont="1" applyAlignment="1" applyProtection="1">
      <alignment horizontal="center"/>
      <protection locked="0"/>
    </xf>
    <xf numFmtId="4" fontId="49" fillId="0" borderId="0" xfId="0" applyNumberFormat="1" applyFont="1" applyAlignment="1" applyProtection="1">
      <alignment horizontal="center"/>
      <protection locked="0"/>
    </xf>
    <xf numFmtId="0" fontId="45" fillId="18" borderId="22" xfId="0" applyFont="1" applyFill="1" applyBorder="1"/>
    <xf numFmtId="4" fontId="44" fillId="0" borderId="0" xfId="0" applyNumberFormat="1" applyFont="1"/>
    <xf numFmtId="4" fontId="49" fillId="0" borderId="0" xfId="0" applyNumberFormat="1" applyFont="1"/>
    <xf numFmtId="3" fontId="44" fillId="0" borderId="0" xfId="0" applyNumberFormat="1" applyFont="1" applyAlignment="1">
      <alignment horizontal="center"/>
    </xf>
    <xf numFmtId="2" fontId="46" fillId="0" borderId="0" xfId="0" applyNumberFormat="1" applyFont="1" applyAlignment="1">
      <alignment horizontal="center"/>
    </xf>
    <xf numFmtId="0" fontId="44" fillId="0" borderId="1" xfId="0" applyFont="1" applyBorder="1"/>
    <xf numFmtId="0" fontId="44" fillId="0" borderId="1" xfId="0" applyFont="1" applyBorder="1" applyAlignment="1">
      <alignment horizontal="center"/>
    </xf>
    <xf numFmtId="0" fontId="45" fillId="15" borderId="74" xfId="0" applyFont="1" applyFill="1" applyBorder="1" applyAlignment="1">
      <alignment horizontal="center" textRotation="90" wrapText="1"/>
    </xf>
    <xf numFmtId="0" fontId="45" fillId="15" borderId="6" xfId="0" applyFont="1" applyFill="1" applyBorder="1" applyAlignment="1">
      <alignment horizontal="center" textRotation="90" wrapText="1"/>
    </xf>
    <xf numFmtId="0" fontId="45" fillId="15" borderId="73" xfId="0" applyFont="1" applyFill="1" applyBorder="1" applyAlignment="1">
      <alignment horizontal="center" textRotation="90" wrapText="1"/>
    </xf>
    <xf numFmtId="0" fontId="45" fillId="15" borderId="30" xfId="0" applyFont="1" applyFill="1" applyBorder="1" applyAlignment="1">
      <alignment horizontal="center" textRotation="90" wrapText="1"/>
    </xf>
    <xf numFmtId="3" fontId="45" fillId="15" borderId="77" xfId="0" applyNumberFormat="1" applyFont="1" applyFill="1" applyBorder="1" applyAlignment="1">
      <alignment horizontal="center" vertical="center" wrapText="1"/>
    </xf>
    <xf numFmtId="2" fontId="45" fillId="15" borderId="68" xfId="0" applyNumberFormat="1" applyFont="1" applyFill="1" applyBorder="1" applyAlignment="1">
      <alignment horizontal="center" vertical="center" wrapText="1"/>
    </xf>
    <xf numFmtId="168" fontId="45" fillId="15" borderId="68" xfId="0" applyNumberFormat="1" applyFont="1" applyFill="1" applyBorder="1" applyAlignment="1">
      <alignment horizontal="center" vertical="center" wrapText="1"/>
    </xf>
    <xf numFmtId="168" fontId="45" fillId="15" borderId="78" xfId="0" applyNumberFormat="1" applyFont="1" applyFill="1" applyBorder="1" applyAlignment="1">
      <alignment horizontal="center" vertical="center" wrapText="1"/>
    </xf>
    <xf numFmtId="0" fontId="49" fillId="0" borderId="0" xfId="0" applyFont="1"/>
    <xf numFmtId="4" fontId="49" fillId="16" borderId="6" xfId="0" applyNumberFormat="1" applyFont="1" applyFill="1" applyBorder="1" applyAlignment="1">
      <alignment horizontal="center" vertical="center" wrapText="1"/>
    </xf>
    <xf numFmtId="0" fontId="51" fillId="0" borderId="13" xfId="0" applyFont="1" applyBorder="1" applyAlignment="1">
      <alignment horizontal="center"/>
    </xf>
    <xf numFmtId="0" fontId="51" fillId="0" borderId="29" xfId="0" applyFont="1" applyBorder="1" applyAlignment="1">
      <alignment horizontal="center"/>
    </xf>
    <xf numFmtId="0" fontId="51" fillId="0" borderId="32" xfId="0" applyFont="1" applyBorder="1" applyAlignment="1">
      <alignment horizontal="center"/>
    </xf>
    <xf numFmtId="0" fontId="51" fillId="0" borderId="76" xfId="0" applyFont="1" applyBorder="1" applyAlignment="1">
      <alignment horizontal="center"/>
    </xf>
    <xf numFmtId="0" fontId="51" fillId="0" borderId="75" xfId="0" applyFont="1" applyBorder="1" applyAlignment="1">
      <alignment horizontal="center"/>
    </xf>
    <xf numFmtId="0" fontId="51" fillId="0" borderId="31" xfId="0" applyFont="1" applyBorder="1" applyAlignment="1">
      <alignment horizontal="center"/>
    </xf>
    <xf numFmtId="3" fontId="51" fillId="0" borderId="13" xfId="0" applyNumberFormat="1" applyFont="1" applyBorder="1" applyAlignment="1">
      <alignment horizontal="center"/>
    </xf>
    <xf numFmtId="2" fontId="51" fillId="0" borderId="67" xfId="0" applyNumberFormat="1" applyFont="1" applyBorder="1" applyAlignment="1">
      <alignment horizontal="center"/>
    </xf>
    <xf numFmtId="168" fontId="51" fillId="0" borderId="67" xfId="0" applyNumberFormat="1" applyFont="1" applyBorder="1" applyAlignment="1">
      <alignment horizontal="center"/>
    </xf>
    <xf numFmtId="3" fontId="51" fillId="0" borderId="0" xfId="0" applyNumberFormat="1" applyFont="1" applyAlignment="1">
      <alignment horizontal="center"/>
    </xf>
    <xf numFmtId="168" fontId="51" fillId="0" borderId="79" xfId="0" applyNumberFormat="1" applyFont="1" applyBorder="1" applyAlignment="1">
      <alignment horizontal="center"/>
    </xf>
    <xf numFmtId="0" fontId="51" fillId="0" borderId="16" xfId="0" applyFont="1" applyBorder="1" applyAlignment="1">
      <alignment horizontal="center"/>
    </xf>
    <xf numFmtId="168" fontId="51" fillId="0" borderId="16" xfId="0" applyNumberFormat="1" applyFont="1" applyBorder="1" applyAlignment="1">
      <alignment horizontal="center"/>
    </xf>
    <xf numFmtId="0" fontId="44" fillId="0" borderId="6" xfId="25" applyNumberFormat="1" applyFont="1" applyFill="1" applyBorder="1" applyAlignment="1">
      <alignment horizontal="center"/>
    </xf>
    <xf numFmtId="3" fontId="44" fillId="0" borderId="6" xfId="25" applyNumberFormat="1" applyFont="1" applyFill="1" applyBorder="1" applyAlignment="1">
      <alignment horizontal="center"/>
    </xf>
    <xf numFmtId="3" fontId="44" fillId="0" borderId="6" xfId="0" applyNumberFormat="1" applyFont="1" applyBorder="1" applyAlignment="1">
      <alignment horizontal="center"/>
    </xf>
    <xf numFmtId="0" fontId="44" fillId="0" borderId="16" xfId="0" applyFont="1" applyBorder="1" applyAlignment="1">
      <alignment horizontal="center"/>
    </xf>
    <xf numFmtId="0" fontId="44" fillId="0" borderId="6" xfId="24" applyNumberFormat="1" applyFont="1" applyFill="1" applyBorder="1" applyAlignment="1">
      <alignment horizontal="center"/>
    </xf>
    <xf numFmtId="0" fontId="45" fillId="18" borderId="6" xfId="0" applyFont="1" applyFill="1" applyBorder="1" applyAlignment="1">
      <alignment horizontal="left" vertical="center"/>
    </xf>
    <xf numFmtId="0" fontId="45" fillId="18" borderId="6" xfId="0" applyFont="1" applyFill="1" applyBorder="1" applyAlignment="1">
      <alignment horizontal="center" vertical="center"/>
    </xf>
    <xf numFmtId="0" fontId="49" fillId="0" borderId="0" xfId="0" applyFont="1" applyAlignment="1">
      <alignment horizontal="center" wrapText="1"/>
    </xf>
    <xf numFmtId="0" fontId="47" fillId="0" borderId="6" xfId="0" applyFont="1" applyBorder="1" applyAlignment="1">
      <alignment horizontal="center"/>
    </xf>
    <xf numFmtId="0" fontId="47" fillId="0" borderId="0" xfId="0" applyFont="1" applyAlignment="1">
      <alignment horizontal="center"/>
    </xf>
    <xf numFmtId="0" fontId="69" fillId="0" borderId="0" xfId="0" applyFont="1" applyAlignment="1">
      <alignment horizontal="left"/>
    </xf>
    <xf numFmtId="0" fontId="69" fillId="0" borderId="0" xfId="0" applyFont="1" applyAlignment="1">
      <alignment horizontal="center"/>
    </xf>
    <xf numFmtId="0" fontId="69" fillId="0" borderId="0" xfId="0" applyFont="1"/>
    <xf numFmtId="0" fontId="44" fillId="0" borderId="29" xfId="0" applyFont="1" applyBorder="1" applyAlignment="1">
      <alignment horizontal="center"/>
    </xf>
    <xf numFmtId="0" fontId="44" fillId="0" borderId="29" xfId="24" applyNumberFormat="1" applyFont="1" applyFill="1" applyBorder="1" applyAlignment="1">
      <alignment horizontal="center"/>
    </xf>
    <xf numFmtId="0" fontId="44" fillId="0" borderId="69" xfId="0" applyFont="1" applyBorder="1" applyAlignment="1">
      <alignment horizontal="center"/>
    </xf>
    <xf numFmtId="0" fontId="44" fillId="0" borderId="69" xfId="24" applyNumberFormat="1" applyFont="1" applyFill="1" applyBorder="1" applyAlignment="1">
      <alignment horizontal="center"/>
    </xf>
    <xf numFmtId="0" fontId="44" fillId="0" borderId="70" xfId="0" applyFont="1" applyBorder="1" applyAlignment="1">
      <alignment horizontal="center"/>
    </xf>
    <xf numFmtId="0" fontId="44" fillId="0" borderId="70" xfId="24" applyNumberFormat="1" applyFont="1" applyFill="1" applyBorder="1" applyAlignment="1">
      <alignment horizontal="center"/>
    </xf>
    <xf numFmtId="0" fontId="44" fillId="0" borderId="28" xfId="0" applyFont="1" applyBorder="1" applyAlignment="1">
      <alignment horizontal="center"/>
    </xf>
    <xf numFmtId="0" fontId="44" fillId="0" borderId="28" xfId="24" applyNumberFormat="1" applyFont="1" applyFill="1" applyBorder="1" applyAlignment="1">
      <alignment horizontal="center"/>
    </xf>
    <xf numFmtId="3" fontId="44" fillId="0" borderId="0" xfId="25" applyNumberFormat="1" applyFont="1" applyFill="1" applyBorder="1" applyAlignment="1">
      <alignment horizontal="center"/>
    </xf>
    <xf numFmtId="170" fontId="44" fillId="0" borderId="0" xfId="25" applyNumberFormat="1" applyFont="1" applyFill="1" applyBorder="1" applyAlignment="1">
      <alignment horizontal="center"/>
    </xf>
    <xf numFmtId="3" fontId="44" fillId="0" borderId="0" xfId="0" applyNumberFormat="1" applyFont="1"/>
    <xf numFmtId="3" fontId="44" fillId="14" borderId="20" xfId="0" applyNumberFormat="1" applyFont="1" applyFill="1" applyBorder="1" applyAlignment="1">
      <alignment horizontal="center" vertical="center" wrapText="1"/>
    </xf>
    <xf numFmtId="1" fontId="44" fillId="14" borderId="21" xfId="0" applyNumberFormat="1" applyFont="1" applyFill="1" applyBorder="1" applyAlignment="1">
      <alignment horizontal="center" vertical="center" wrapText="1"/>
    </xf>
    <xf numFmtId="3" fontId="44" fillId="14" borderId="49" xfId="0" applyNumberFormat="1" applyFont="1" applyFill="1" applyBorder="1" applyAlignment="1">
      <alignment horizontal="center" vertical="center" wrapText="1"/>
    </xf>
    <xf numFmtId="1" fontId="44" fillId="14" borderId="58" xfId="0" applyNumberFormat="1" applyFont="1" applyFill="1" applyBorder="1" applyAlignment="1">
      <alignment horizontal="center" vertical="center" wrapText="1"/>
    </xf>
    <xf numFmtId="1" fontId="44" fillId="14" borderId="51" xfId="0" applyNumberFormat="1" applyFont="1" applyFill="1" applyBorder="1" applyAlignment="1">
      <alignment horizontal="center" vertical="center" wrapText="1"/>
    </xf>
    <xf numFmtId="1" fontId="44" fillId="14" borderId="48" xfId="0" applyNumberFormat="1" applyFont="1" applyFill="1" applyBorder="1" applyAlignment="1">
      <alignment horizontal="center" vertical="center" wrapText="1"/>
    </xf>
    <xf numFmtId="0" fontId="49" fillId="0" borderId="0" xfId="0" applyFont="1" applyAlignment="1">
      <alignment horizontal="left" vertical="center" indent="1"/>
    </xf>
    <xf numFmtId="0" fontId="44" fillId="0" borderId="0" xfId="0" applyFont="1" applyAlignment="1">
      <alignment horizontal="left" vertical="center" indent="1"/>
    </xf>
    <xf numFmtId="1" fontId="51" fillId="18" borderId="22" xfId="0" applyNumberFormat="1" applyFont="1" applyFill="1" applyBorder="1" applyAlignment="1">
      <alignment horizontal="center" vertical="center"/>
    </xf>
    <xf numFmtId="1" fontId="51" fillId="18" borderId="30" xfId="0" applyNumberFormat="1" applyFont="1" applyFill="1" applyBorder="1" applyAlignment="1">
      <alignment horizontal="center" vertical="center"/>
    </xf>
    <xf numFmtId="0" fontId="45" fillId="0" borderId="0" xfId="0" applyFont="1" applyAlignment="1">
      <alignment horizontal="left" vertical="center" indent="1"/>
    </xf>
    <xf numFmtId="0" fontId="45" fillId="0" borderId="0" xfId="0" applyFont="1" applyAlignment="1">
      <alignment horizontal="left" vertical="center"/>
    </xf>
    <xf numFmtId="0" fontId="73" fillId="0" borderId="0" xfId="0" applyFont="1" applyAlignment="1">
      <alignment horizontal="left" vertical="center" indent="1"/>
    </xf>
    <xf numFmtId="0" fontId="46" fillId="0" borderId="0" xfId="0" applyFont="1" applyAlignment="1">
      <alignment horizontal="left" vertical="center" indent="1"/>
    </xf>
    <xf numFmtId="0" fontId="44" fillId="0" borderId="0" xfId="0" applyFont="1" applyAlignment="1">
      <alignment horizontal="left" indent="1"/>
    </xf>
    <xf numFmtId="0" fontId="46" fillId="0" borderId="0" xfId="0" applyFont="1" applyAlignment="1">
      <alignment vertical="center"/>
    </xf>
    <xf numFmtId="0" fontId="46" fillId="0" borderId="0" xfId="0" applyFont="1" applyAlignment="1" applyProtection="1">
      <alignment horizontal="center" vertical="center"/>
      <protection locked="0"/>
    </xf>
    <xf numFmtId="0" fontId="46" fillId="0" borderId="84" xfId="0" applyFont="1" applyBorder="1" applyAlignment="1" applyProtection="1">
      <alignment horizontal="center" vertical="center"/>
      <protection locked="0"/>
    </xf>
    <xf numFmtId="0" fontId="46" fillId="0" borderId="83" xfId="0" applyFont="1" applyBorder="1" applyAlignment="1" applyProtection="1">
      <alignment horizontal="center" vertical="center"/>
      <protection locked="0"/>
    </xf>
    <xf numFmtId="169" fontId="46" fillId="0" borderId="83" xfId="25" applyNumberFormat="1" applyFont="1" applyBorder="1" applyAlignment="1" applyProtection="1">
      <alignment horizontal="center" vertical="center"/>
      <protection locked="0"/>
    </xf>
    <xf numFmtId="9" fontId="46" fillId="0" borderId="82" xfId="25" applyNumberFormat="1" applyFont="1" applyBorder="1" applyAlignment="1" applyProtection="1">
      <alignment horizontal="center" vertical="center"/>
      <protection locked="0"/>
    </xf>
    <xf numFmtId="1" fontId="46" fillId="0" borderId="82" xfId="25" applyNumberFormat="1" applyFont="1" applyBorder="1" applyAlignment="1" applyProtection="1">
      <alignment horizontal="center" vertical="center"/>
      <protection locked="0"/>
    </xf>
    <xf numFmtId="1" fontId="45" fillId="18" borderId="22" xfId="0" applyNumberFormat="1" applyFont="1" applyFill="1" applyBorder="1" applyAlignment="1">
      <alignment horizontal="left" vertical="center"/>
    </xf>
    <xf numFmtId="0" fontId="51" fillId="18" borderId="5" xfId="0" applyFont="1" applyFill="1" applyBorder="1" applyAlignment="1">
      <alignment horizontal="center" vertical="center"/>
    </xf>
    <xf numFmtId="1" fontId="45" fillId="18" borderId="30" xfId="0" applyNumberFormat="1" applyFont="1" applyFill="1" applyBorder="1" applyAlignment="1">
      <alignment horizontal="center" vertical="center"/>
    </xf>
    <xf numFmtId="170" fontId="45" fillId="18" borderId="30" xfId="0" applyNumberFormat="1" applyFont="1" applyFill="1" applyBorder="1" applyAlignment="1">
      <alignment vertical="center"/>
    </xf>
    <xf numFmtId="170" fontId="74" fillId="0" borderId="0" xfId="0" applyNumberFormat="1" applyFont="1" applyAlignment="1">
      <alignment vertical="center"/>
    </xf>
    <xf numFmtId="0" fontId="45" fillId="18" borderId="6" xfId="0" quotePrefix="1" applyFont="1" applyFill="1" applyBorder="1" applyAlignment="1">
      <alignment horizontal="center" vertical="center"/>
    </xf>
    <xf numFmtId="0" fontId="46" fillId="0" borderId="84" xfId="0" applyFont="1" applyBorder="1" applyAlignment="1">
      <alignment horizontal="center" vertical="center"/>
    </xf>
    <xf numFmtId="0" fontId="46" fillId="0" borderId="83" xfId="0" applyFont="1" applyBorder="1" applyAlignment="1">
      <alignment horizontal="center" vertical="center"/>
    </xf>
    <xf numFmtId="2" fontId="46" fillId="0" borderId="84" xfId="0" applyNumberFormat="1" applyFont="1" applyBorder="1" applyAlignment="1">
      <alignment horizontal="center" vertical="center"/>
    </xf>
    <xf numFmtId="169" fontId="46" fillId="0" borderId="83" xfId="24" applyNumberFormat="1" applyFont="1" applyFill="1" applyBorder="1" applyAlignment="1">
      <alignment horizontal="center" vertical="center"/>
    </xf>
    <xf numFmtId="168" fontId="46" fillId="0" borderId="83" xfId="24" applyNumberFormat="1" applyFont="1" applyFill="1" applyBorder="1" applyAlignment="1">
      <alignment horizontal="center" vertical="center"/>
    </xf>
    <xf numFmtId="1" fontId="46" fillId="0" borderId="83" xfId="24" applyNumberFormat="1" applyFont="1" applyFill="1" applyBorder="1" applyAlignment="1">
      <alignment horizontal="center" vertical="center"/>
    </xf>
    <xf numFmtId="170" fontId="51" fillId="18" borderId="22" xfId="0" applyNumberFormat="1" applyFont="1" applyFill="1" applyBorder="1" applyAlignment="1">
      <alignment horizontal="center" vertical="center"/>
    </xf>
    <xf numFmtId="170" fontId="51" fillId="18" borderId="5" xfId="0" applyNumberFormat="1" applyFont="1" applyFill="1" applyBorder="1" applyAlignment="1">
      <alignment horizontal="center" vertical="center"/>
    </xf>
    <xf numFmtId="170" fontId="51" fillId="18" borderId="30" xfId="0" applyNumberFormat="1" applyFont="1" applyFill="1" applyBorder="1" applyAlignment="1">
      <alignment horizontal="center" vertical="center"/>
    </xf>
    <xf numFmtId="0" fontId="44" fillId="0" borderId="18" xfId="0" applyFont="1" applyBorder="1" applyAlignment="1">
      <alignment horizontal="left" vertical="center"/>
    </xf>
    <xf numFmtId="0" fontId="44" fillId="0" borderId="17" xfId="0" applyFont="1" applyBorder="1" applyAlignment="1">
      <alignment horizontal="center" vertical="center"/>
    </xf>
    <xf numFmtId="0" fontId="44" fillId="0" borderId="24" xfId="0" applyFont="1" applyBorder="1" applyAlignment="1">
      <alignment vertical="center"/>
    </xf>
    <xf numFmtId="168" fontId="44" fillId="0" borderId="25" xfId="0" applyNumberFormat="1" applyFont="1" applyBorder="1" applyAlignment="1">
      <alignment horizontal="center" vertical="center"/>
    </xf>
    <xf numFmtId="1" fontId="44" fillId="0" borderId="24" xfId="0" applyNumberFormat="1" applyFont="1" applyBorder="1" applyAlignment="1">
      <alignment horizontal="center" vertical="center"/>
    </xf>
    <xf numFmtId="1" fontId="44" fillId="0" borderId="17" xfId="0" applyNumberFormat="1" applyFont="1" applyBorder="1" applyAlignment="1">
      <alignment horizontal="center" vertical="center"/>
    </xf>
    <xf numFmtId="4" fontId="44" fillId="0" borderId="24" xfId="0" applyNumberFormat="1" applyFont="1" applyBorder="1" applyAlignment="1">
      <alignment horizontal="center" vertical="center"/>
    </xf>
    <xf numFmtId="4" fontId="44" fillId="0" borderId="25" xfId="0" applyNumberFormat="1" applyFont="1" applyBorder="1" applyAlignment="1">
      <alignment horizontal="center" vertical="center"/>
    </xf>
    <xf numFmtId="4" fontId="44" fillId="0" borderId="24" xfId="0" applyNumberFormat="1" applyFont="1" applyBorder="1" applyAlignment="1">
      <alignment horizontal="left" vertical="center"/>
    </xf>
    <xf numFmtId="3" fontId="44" fillId="0" borderId="17" xfId="0" applyNumberFormat="1" applyFont="1" applyBorder="1" applyAlignment="1">
      <alignment horizontal="center" vertical="center"/>
    </xf>
    <xf numFmtId="3" fontId="44" fillId="0" borderId="34" xfId="0" applyNumberFormat="1" applyFont="1" applyBorder="1" applyAlignment="1">
      <alignment horizontal="center" vertical="center"/>
    </xf>
    <xf numFmtId="4" fontId="44" fillId="0" borderId="34" xfId="0" applyNumberFormat="1" applyFont="1" applyBorder="1" applyAlignment="1">
      <alignment horizontal="center" vertical="center"/>
    </xf>
    <xf numFmtId="9" fontId="44" fillId="0" borderId="24" xfId="24" applyFont="1" applyBorder="1" applyAlignment="1">
      <alignment horizontal="center" vertical="center"/>
    </xf>
    <xf numFmtId="2" fontId="44" fillId="0" borderId="25" xfId="0" applyNumberFormat="1" applyFont="1" applyBorder="1" applyAlignment="1">
      <alignment horizontal="center" vertical="center"/>
    </xf>
    <xf numFmtId="2" fontId="44" fillId="0" borderId="23" xfId="0" applyNumberFormat="1" applyFont="1" applyBorder="1" applyAlignment="1">
      <alignment horizontal="center" vertical="center"/>
    </xf>
    <xf numFmtId="4" fontId="75" fillId="0" borderId="13" xfId="0" applyNumberFormat="1" applyFont="1" applyBorder="1" applyAlignment="1">
      <alignment vertical="center"/>
    </xf>
    <xf numFmtId="170" fontId="75" fillId="0" borderId="0" xfId="0" applyNumberFormat="1" applyFont="1" applyAlignment="1">
      <alignment vertical="center"/>
    </xf>
    <xf numFmtId="170" fontId="46" fillId="0" borderId="0" xfId="0" applyNumberFormat="1" applyFont="1" applyAlignment="1">
      <alignment vertical="center"/>
    </xf>
    <xf numFmtId="170" fontId="44" fillId="0" borderId="24" xfId="0" applyNumberFormat="1" applyFont="1" applyBorder="1" applyAlignment="1">
      <alignment horizontal="center" vertical="center"/>
    </xf>
    <xf numFmtId="170" fontId="44" fillId="0" borderId="25" xfId="0" applyNumberFormat="1" applyFont="1" applyBorder="1" applyAlignment="1">
      <alignment horizontal="center" vertical="center"/>
    </xf>
    <xf numFmtId="170" fontId="44" fillId="0" borderId="23" xfId="0" applyNumberFormat="1" applyFont="1" applyBorder="1" applyAlignment="1">
      <alignment horizontal="center" vertical="center"/>
    </xf>
    <xf numFmtId="0" fontId="46" fillId="0" borderId="0" xfId="0" applyFont="1"/>
    <xf numFmtId="1" fontId="44" fillId="0" borderId="0" xfId="0" applyNumberFormat="1" applyFont="1"/>
    <xf numFmtId="0" fontId="49" fillId="0" borderId="13" xfId="0" applyFont="1" applyBorder="1" applyAlignment="1">
      <alignment vertical="center"/>
    </xf>
    <xf numFmtId="0" fontId="49" fillId="0" borderId="26" xfId="0" applyFont="1" applyBorder="1" applyAlignment="1">
      <alignment vertical="center"/>
    </xf>
    <xf numFmtId="0" fontId="44" fillId="0" borderId="28" xfId="0" applyFont="1" applyBorder="1" applyAlignment="1">
      <alignment horizontal="center" vertical="center"/>
    </xf>
    <xf numFmtId="168" fontId="44" fillId="0" borderId="28" xfId="0" applyNumberFormat="1" applyFont="1" applyBorder="1" applyAlignment="1">
      <alignment horizontal="center" vertical="center"/>
    </xf>
    <xf numFmtId="0" fontId="51" fillId="19" borderId="6" xfId="0" applyFont="1" applyFill="1" applyBorder="1" applyAlignment="1" applyProtection="1">
      <alignment horizontal="left"/>
      <protection locked="0"/>
    </xf>
    <xf numFmtId="0" fontId="51" fillId="19" borderId="6" xfId="0" applyFont="1" applyFill="1" applyBorder="1" applyAlignment="1" applyProtection="1">
      <alignment horizontal="center"/>
      <protection locked="0"/>
    </xf>
    <xf numFmtId="4" fontId="51" fillId="21" borderId="6" xfId="0" applyNumberFormat="1" applyFont="1" applyFill="1" applyBorder="1" applyAlignment="1" applyProtection="1">
      <alignment horizontal="center"/>
      <protection locked="0"/>
    </xf>
    <xf numFmtId="1" fontId="53" fillId="0" borderId="0" xfId="0" applyNumberFormat="1" applyFont="1"/>
    <xf numFmtId="2" fontId="53" fillId="0" borderId="0" xfId="0" applyNumberFormat="1" applyFont="1"/>
    <xf numFmtId="0" fontId="46" fillId="0" borderId="0" xfId="0" applyFont="1" applyAlignment="1">
      <alignment horizontal="left"/>
    </xf>
    <xf numFmtId="0" fontId="47" fillId="22" borderId="30" xfId="0" applyFont="1" applyFill="1" applyBorder="1" applyAlignment="1">
      <alignment horizontal="left"/>
    </xf>
    <xf numFmtId="0" fontId="47" fillId="20" borderId="6" xfId="0" applyFont="1" applyFill="1" applyBorder="1" applyAlignment="1">
      <alignment horizontal="left"/>
    </xf>
    <xf numFmtId="0" fontId="47" fillId="20" borderId="6" xfId="0" applyFont="1" applyFill="1" applyBorder="1" applyAlignment="1">
      <alignment horizontal="center"/>
    </xf>
    <xf numFmtId="1" fontId="47" fillId="20" borderId="30" xfId="0" applyNumberFormat="1" applyFont="1" applyFill="1" applyBorder="1" applyAlignment="1">
      <alignment horizontal="center"/>
    </xf>
    <xf numFmtId="171" fontId="47" fillId="20" borderId="6" xfId="0" applyNumberFormat="1" applyFont="1" applyFill="1" applyBorder="1" applyAlignment="1">
      <alignment horizontal="center"/>
    </xf>
    <xf numFmtId="2" fontId="47" fillId="20" borderId="30" xfId="0" applyNumberFormat="1" applyFont="1" applyFill="1" applyBorder="1" applyAlignment="1">
      <alignment horizontal="center"/>
    </xf>
    <xf numFmtId="0" fontId="44" fillId="20" borderId="30" xfId="0" applyFont="1" applyFill="1" applyBorder="1" applyAlignment="1">
      <alignment horizontal="center"/>
    </xf>
    <xf numFmtId="0" fontId="47" fillId="20" borderId="30" xfId="0" applyFont="1" applyFill="1" applyBorder="1" applyAlignment="1">
      <alignment horizontal="center"/>
    </xf>
    <xf numFmtId="1" fontId="47" fillId="22" borderId="30" xfId="0" applyNumberFormat="1" applyFont="1" applyFill="1" applyBorder="1" applyAlignment="1">
      <alignment horizontal="center"/>
    </xf>
    <xf numFmtId="4" fontId="47" fillId="22" borderId="6" xfId="0" applyNumberFormat="1" applyFont="1" applyFill="1" applyBorder="1" applyAlignment="1">
      <alignment horizontal="center"/>
    </xf>
    <xf numFmtId="3" fontId="47" fillId="22" borderId="6" xfId="0" applyNumberFormat="1" applyFont="1" applyFill="1" applyBorder="1" applyAlignment="1">
      <alignment horizontal="center"/>
    </xf>
    <xf numFmtId="173" fontId="47" fillId="20" borderId="6" xfId="0" applyNumberFormat="1" applyFont="1" applyFill="1" applyBorder="1" applyAlignment="1">
      <alignment horizontal="left"/>
    </xf>
    <xf numFmtId="0" fontId="55" fillId="0" borderId="0" xfId="0" applyFont="1"/>
    <xf numFmtId="0" fontId="47" fillId="1" borderId="30" xfId="0" applyFont="1" applyFill="1" applyBorder="1" applyAlignment="1">
      <alignment horizontal="left"/>
    </xf>
    <xf numFmtId="0" fontId="47" fillId="0" borderId="6" xfId="0" applyFont="1" applyBorder="1" applyAlignment="1">
      <alignment horizontal="left"/>
    </xf>
    <xf numFmtId="0" fontId="47" fillId="0" borderId="6" xfId="0" quotePrefix="1" applyFont="1" applyBorder="1" applyAlignment="1">
      <alignment horizontal="center"/>
    </xf>
    <xf numFmtId="0" fontId="47" fillId="0" borderId="6" xfId="0" applyFont="1" applyBorder="1" applyAlignment="1">
      <alignment horizontal="left" indent="3"/>
    </xf>
    <xf numFmtId="1" fontId="47" fillId="0" borderId="30" xfId="0" applyNumberFormat="1" applyFont="1" applyBorder="1" applyAlignment="1">
      <alignment horizontal="center"/>
    </xf>
    <xf numFmtId="171" fontId="47" fillId="0" borderId="6" xfId="0" applyNumberFormat="1" applyFont="1" applyBorder="1" applyAlignment="1">
      <alignment horizontal="center"/>
    </xf>
    <xf numFmtId="2" fontId="47" fillId="0" borderId="30" xfId="0" applyNumberFormat="1" applyFont="1" applyBorder="1" applyAlignment="1">
      <alignment horizontal="center"/>
    </xf>
    <xf numFmtId="0" fontId="44" fillId="0" borderId="30" xfId="0" applyFont="1" applyBorder="1" applyAlignment="1">
      <alignment horizontal="center"/>
    </xf>
    <xf numFmtId="0" fontId="47" fillId="0" borderId="30" xfId="0" applyFont="1" applyBorder="1" applyAlignment="1">
      <alignment horizontal="center"/>
    </xf>
    <xf numFmtId="1" fontId="47" fillId="1" borderId="30" xfId="0" applyNumberFormat="1" applyFont="1" applyFill="1" applyBorder="1" applyAlignment="1">
      <alignment horizontal="center"/>
    </xf>
    <xf numFmtId="4" fontId="47" fillId="1" borderId="6" xfId="0" applyNumberFormat="1" applyFont="1" applyFill="1" applyBorder="1" applyAlignment="1">
      <alignment horizontal="center"/>
    </xf>
    <xf numFmtId="3" fontId="47" fillId="1" borderId="6" xfId="0" applyNumberFormat="1" applyFont="1" applyFill="1" applyBorder="1" applyAlignment="1">
      <alignment horizontal="center"/>
    </xf>
    <xf numFmtId="173" fontId="47" fillId="0" borderId="6" xfId="0" applyNumberFormat="1" applyFont="1" applyBorder="1" applyAlignment="1">
      <alignment horizontal="left"/>
    </xf>
    <xf numFmtId="0" fontId="44" fillId="0" borderId="0" xfId="0" quotePrefix="1" applyFont="1" applyAlignment="1">
      <alignment horizontal="center" vertical="center"/>
    </xf>
    <xf numFmtId="0" fontId="44" fillId="0" borderId="0" xfId="0" applyFont="1" applyAlignment="1">
      <alignment horizontal="left" vertical="center"/>
    </xf>
    <xf numFmtId="49" fontId="44" fillId="0" borderId="0" xfId="0" applyNumberFormat="1" applyFont="1" applyAlignment="1">
      <alignment horizontal="center" vertical="center"/>
    </xf>
    <xf numFmtId="0" fontId="76" fillId="0" borderId="0" xfId="26" applyFont="1" applyAlignment="1">
      <alignment horizontal="center" vertical="center"/>
    </xf>
    <xf numFmtId="0" fontId="44" fillId="0" borderId="0" xfId="26" applyFont="1" applyAlignment="1">
      <alignment horizontal="center" vertical="center"/>
    </xf>
    <xf numFmtId="0" fontId="44" fillId="0" borderId="0" xfId="0" applyFont="1" applyAlignment="1">
      <alignment horizontal="left" vertical="center" wrapText="1"/>
    </xf>
    <xf numFmtId="0" fontId="44" fillId="0" borderId="0" xfId="0" applyFont="1" applyAlignment="1">
      <alignment wrapText="1"/>
    </xf>
    <xf numFmtId="182" fontId="44" fillId="0" borderId="0" xfId="0" applyNumberFormat="1" applyFont="1" applyAlignment="1">
      <alignment horizontal="center" vertical="center" wrapText="1"/>
    </xf>
    <xf numFmtId="181" fontId="68" fillId="0" borderId="0" xfId="0" applyNumberFormat="1" applyFont="1" applyAlignment="1">
      <alignment horizontal="center" vertical="center" wrapText="1"/>
    </xf>
    <xf numFmtId="0" fontId="49" fillId="0" borderId="0" xfId="0" applyFont="1" applyAlignment="1">
      <alignment horizontal="center"/>
    </xf>
    <xf numFmtId="0" fontId="68" fillId="0" borderId="0" xfId="0" applyFont="1" applyAlignment="1">
      <alignment horizontal="center"/>
    </xf>
    <xf numFmtId="0" fontId="77" fillId="0" borderId="0" xfId="0" applyFont="1" applyAlignment="1">
      <alignment horizontal="center"/>
    </xf>
    <xf numFmtId="0" fontId="68" fillId="0" borderId="0" xfId="0" applyFont="1" applyAlignment="1">
      <alignment horizontal="center" vertical="center" wrapText="1"/>
    </xf>
    <xf numFmtId="0" fontId="76" fillId="0" borderId="0" xfId="26" applyFont="1" applyFill="1" applyAlignment="1">
      <alignment horizontal="center" vertical="center" wrapText="1"/>
    </xf>
    <xf numFmtId="0" fontId="51" fillId="18" borderId="0" xfId="0" applyFont="1" applyFill="1" applyAlignment="1">
      <alignment vertical="center" wrapText="1"/>
    </xf>
    <xf numFmtId="0" fontId="45" fillId="18" borderId="0" xfId="0" applyFont="1" applyFill="1" applyAlignment="1">
      <alignment horizontal="center" vertical="center" wrapText="1"/>
    </xf>
    <xf numFmtId="0" fontId="44" fillId="0" borderId="0" xfId="0" applyFont="1" applyAlignment="1" applyProtection="1">
      <alignment horizontal="center" vertical="center" wrapText="1"/>
      <protection locked="0"/>
    </xf>
    <xf numFmtId="0" fontId="46" fillId="0" borderId="0" xfId="0" applyFont="1" applyAlignment="1">
      <alignment horizontal="left" vertical="center" wrapText="1"/>
    </xf>
    <xf numFmtId="0" fontId="46" fillId="0" borderId="0" xfId="0" applyFont="1" applyAlignment="1">
      <alignment vertical="center" wrapText="1"/>
    </xf>
    <xf numFmtId="0" fontId="44" fillId="0" borderId="0" xfId="0" quotePrefix="1" applyFont="1" applyAlignment="1">
      <alignment horizontal="left" vertical="center" wrapText="1"/>
    </xf>
    <xf numFmtId="0" fontId="44" fillId="0" borderId="45" xfId="0" applyFont="1" applyBorder="1" applyAlignment="1" applyProtection="1">
      <alignment horizontal="center" vertical="center" wrapText="1"/>
      <protection locked="0"/>
    </xf>
    <xf numFmtId="0" fontId="46" fillId="0" borderId="0" xfId="0" applyFont="1" applyAlignment="1">
      <alignment horizontal="center" vertical="center" wrapText="1"/>
    </xf>
    <xf numFmtId="0" fontId="44" fillId="0" borderId="15" xfId="0" applyFont="1" applyBorder="1" applyAlignment="1">
      <alignment horizontal="center"/>
    </xf>
    <xf numFmtId="0" fontId="44" fillId="0" borderId="36" xfId="0" applyFont="1" applyBorder="1" applyAlignment="1">
      <alignment horizontal="center"/>
    </xf>
    <xf numFmtId="0" fontId="44" fillId="0" borderId="91" xfId="0" applyFont="1" applyBorder="1" applyAlignment="1">
      <alignment horizontal="center"/>
    </xf>
    <xf numFmtId="0" fontId="44" fillId="0" borderId="0" xfId="0" quotePrefix="1" applyFont="1" applyAlignment="1">
      <alignment vertical="center" wrapText="1"/>
    </xf>
    <xf numFmtId="0" fontId="47" fillId="0" borderId="65" xfId="0" applyFont="1" applyBorder="1" applyAlignment="1">
      <alignment vertical="center" wrapText="1"/>
    </xf>
    <xf numFmtId="0" fontId="47" fillId="0" borderId="80" xfId="0" applyFont="1" applyBorder="1" applyAlignment="1">
      <alignment vertical="center" wrapText="1"/>
    </xf>
    <xf numFmtId="0" fontId="47" fillId="27" borderId="65" xfId="0" applyFont="1" applyFill="1" applyBorder="1" applyAlignment="1">
      <alignment vertical="center" wrapText="1"/>
    </xf>
    <xf numFmtId="2" fontId="49" fillId="0" borderId="27" xfId="0" applyNumberFormat="1" applyFont="1" applyBorder="1" applyAlignment="1">
      <alignment horizontal="center" vertical="center"/>
    </xf>
    <xf numFmtId="1" fontId="44" fillId="0" borderId="30" xfId="0" applyNumberFormat="1" applyFont="1" applyBorder="1" applyAlignment="1">
      <alignment horizontal="center" vertical="top"/>
    </xf>
    <xf numFmtId="0" fontId="51" fillId="18" borderId="29" xfId="0" applyFont="1" applyFill="1" applyBorder="1" applyAlignment="1">
      <alignment horizontal="right" wrapText="1" indent="3"/>
    </xf>
    <xf numFmtId="178" fontId="44" fillId="26" borderId="16" xfId="0" applyNumberFormat="1" applyFont="1" applyFill="1" applyBorder="1" applyAlignment="1">
      <alignment horizontal="center" wrapText="1"/>
    </xf>
    <xf numFmtId="0" fontId="51" fillId="18" borderId="32" xfId="0" applyFont="1" applyFill="1" applyBorder="1" applyAlignment="1">
      <alignment horizontal="center" wrapText="1"/>
    </xf>
    <xf numFmtId="0" fontId="51" fillId="18" borderId="16" xfId="0" applyFont="1" applyFill="1" applyBorder="1" applyAlignment="1">
      <alignment horizontal="right" wrapText="1" indent="3"/>
    </xf>
    <xf numFmtId="0" fontId="51" fillId="18" borderId="13" xfId="0" applyFont="1" applyFill="1" applyBorder="1" applyAlignment="1">
      <alignment horizontal="center" wrapText="1"/>
    </xf>
    <xf numFmtId="0" fontId="51" fillId="18" borderId="13" xfId="0" applyFont="1" applyFill="1" applyBorder="1" applyAlignment="1">
      <alignment horizontal="right" wrapText="1" indent="3"/>
    </xf>
    <xf numFmtId="0" fontId="45" fillId="18" borderId="13" xfId="0" applyFont="1" applyFill="1" applyBorder="1" applyAlignment="1">
      <alignment horizontal="center" wrapText="1"/>
    </xf>
    <xf numFmtId="178" fontId="44" fillId="26" borderId="13" xfId="0" applyNumberFormat="1" applyFont="1" applyFill="1" applyBorder="1" applyAlignment="1">
      <alignment horizontal="center" wrapText="1"/>
    </xf>
    <xf numFmtId="0" fontId="78" fillId="18" borderId="16" xfId="0" applyFont="1" applyFill="1" applyBorder="1" applyAlignment="1">
      <alignment horizontal="right" wrapText="1" indent="3"/>
    </xf>
    <xf numFmtId="0" fontId="79" fillId="18" borderId="16" xfId="0" applyFont="1" applyFill="1" applyBorder="1" applyAlignment="1">
      <alignment horizontal="right" wrapText="1" indent="2"/>
    </xf>
    <xf numFmtId="0" fontId="71" fillId="18" borderId="16" xfId="0" applyFont="1" applyFill="1" applyBorder="1" applyAlignment="1">
      <alignment horizontal="right" wrapText="1" indent="3"/>
    </xf>
    <xf numFmtId="0" fontId="78" fillId="18" borderId="16" xfId="0" applyFont="1" applyFill="1" applyBorder="1" applyAlignment="1">
      <alignment horizontal="right" wrapText="1" indent="2"/>
    </xf>
    <xf numFmtId="0" fontId="79" fillId="18" borderId="16" xfId="0" applyFont="1" applyFill="1" applyBorder="1" applyAlignment="1">
      <alignment horizontal="right" wrapText="1" indent="1"/>
    </xf>
    <xf numFmtId="0" fontId="51" fillId="18" borderId="16" xfId="0" applyFont="1" applyFill="1" applyBorder="1" applyAlignment="1">
      <alignment horizontal="right" wrapText="1" indent="1"/>
    </xf>
    <xf numFmtId="0" fontId="78" fillId="18" borderId="16" xfId="0" applyFont="1" applyFill="1" applyBorder="1" applyAlignment="1">
      <alignment horizontal="right" wrapText="1" indent="1"/>
    </xf>
    <xf numFmtId="0" fontId="80" fillId="18" borderId="16" xfId="0" applyFont="1" applyFill="1" applyBorder="1" applyAlignment="1">
      <alignment horizontal="right" wrapText="1"/>
    </xf>
    <xf numFmtId="178" fontId="51" fillId="25" borderId="16" xfId="0" applyNumberFormat="1" applyFont="1" applyFill="1" applyBorder="1" applyAlignment="1">
      <alignment horizontal="center" wrapText="1"/>
    </xf>
    <xf numFmtId="0" fontId="79" fillId="18" borderId="26" xfId="0" applyFont="1" applyFill="1" applyBorder="1" applyAlignment="1">
      <alignment horizontal="right" wrapText="1"/>
    </xf>
    <xf numFmtId="178" fontId="45" fillId="24" borderId="26" xfId="0" applyNumberFormat="1" applyFont="1" applyFill="1" applyBorder="1" applyAlignment="1">
      <alignment horizontal="center" wrapText="1"/>
    </xf>
    <xf numFmtId="0" fontId="45" fillId="18" borderId="26" xfId="0" applyFont="1" applyFill="1" applyBorder="1" applyAlignment="1">
      <alignment horizontal="center" wrapText="1"/>
    </xf>
    <xf numFmtId="1" fontId="44" fillId="0" borderId="0" xfId="0" applyNumberFormat="1" applyFont="1" applyAlignment="1">
      <alignment horizontal="center" vertical="center"/>
    </xf>
    <xf numFmtId="0" fontId="51" fillId="0" borderId="0" xfId="0" applyFont="1" applyAlignment="1">
      <alignment vertical="center"/>
    </xf>
    <xf numFmtId="2" fontId="49" fillId="0" borderId="0" xfId="0" applyNumberFormat="1" applyFont="1" applyAlignment="1">
      <alignment horizontal="center" vertical="center"/>
    </xf>
    <xf numFmtId="1" fontId="44" fillId="0" borderId="31" xfId="0" applyNumberFormat="1" applyFont="1" applyBorder="1" applyAlignment="1">
      <alignment horizontal="center" vertical="top"/>
    </xf>
    <xf numFmtId="0" fontId="44" fillId="0" borderId="32" xfId="0" applyFont="1" applyBorder="1" applyAlignment="1">
      <alignment horizontal="center" vertical="center"/>
    </xf>
    <xf numFmtId="0" fontId="44" fillId="0" borderId="47" xfId="0" applyFont="1" applyBorder="1" applyAlignment="1">
      <alignment horizontal="center" vertical="center"/>
    </xf>
    <xf numFmtId="0" fontId="46" fillId="0" borderId="47" xfId="0" applyFont="1" applyBorder="1" applyAlignment="1">
      <alignment horizontal="center" vertical="center"/>
    </xf>
    <xf numFmtId="0" fontId="46" fillId="0" borderId="31" xfId="0" applyFont="1" applyBorder="1" applyAlignment="1">
      <alignment horizontal="center" vertical="center"/>
    </xf>
    <xf numFmtId="0" fontId="44" fillId="0" borderId="22" xfId="0" applyFont="1" applyBorder="1" applyAlignment="1">
      <alignment horizontal="center" vertical="center"/>
    </xf>
    <xf numFmtId="0" fontId="44" fillId="0" borderId="5" xfId="0" applyFont="1" applyBorder="1" applyAlignment="1">
      <alignment horizontal="center" vertical="center"/>
    </xf>
    <xf numFmtId="0" fontId="46" fillId="0" borderId="5" xfId="0" applyFont="1" applyBorder="1" applyAlignment="1">
      <alignment horizontal="center" vertical="center"/>
    </xf>
    <xf numFmtId="0" fontId="46" fillId="0" borderId="30" xfId="0" applyFont="1" applyBorder="1" applyAlignment="1">
      <alignment horizontal="center" vertical="center"/>
    </xf>
    <xf numFmtId="2" fontId="44" fillId="23" borderId="32" xfId="0" applyNumberFormat="1" applyFont="1" applyFill="1" applyBorder="1" applyAlignment="1">
      <alignment horizontal="center"/>
    </xf>
    <xf numFmtId="2" fontId="44" fillId="0" borderId="32" xfId="0" applyNumberFormat="1" applyFont="1" applyBorder="1" applyAlignment="1">
      <alignment horizontal="center"/>
    </xf>
    <xf numFmtId="0" fontId="51" fillId="18" borderId="29" xfId="0" applyFont="1" applyFill="1" applyBorder="1" applyAlignment="1">
      <alignment horizontal="right" wrapText="1" indent="4"/>
    </xf>
    <xf numFmtId="0" fontId="44" fillId="0" borderId="29" xfId="0" applyFont="1" applyBorder="1" applyAlignment="1">
      <alignment horizontal="center" wrapText="1"/>
    </xf>
    <xf numFmtId="2" fontId="49" fillId="0" borderId="47" xfId="0" applyNumberFormat="1" applyFont="1" applyBorder="1" applyAlignment="1">
      <alignment horizontal="center" vertical="center"/>
    </xf>
    <xf numFmtId="2" fontId="68" fillId="0" borderId="47" xfId="0" applyNumberFormat="1" applyFont="1" applyBorder="1" applyAlignment="1">
      <alignment horizontal="center" wrapText="1"/>
    </xf>
    <xf numFmtId="2" fontId="68" fillId="0" borderId="29" xfId="0" applyNumberFormat="1" applyFont="1" applyBorder="1" applyAlignment="1">
      <alignment horizontal="center"/>
    </xf>
    <xf numFmtId="2" fontId="68" fillId="0" borderId="47" xfId="0" applyNumberFormat="1" applyFont="1" applyBorder="1" applyAlignment="1">
      <alignment horizontal="center"/>
    </xf>
    <xf numFmtId="2" fontId="44" fillId="0" borderId="29" xfId="0" applyNumberFormat="1" applyFont="1" applyBorder="1" applyAlignment="1">
      <alignment horizontal="center"/>
    </xf>
    <xf numFmtId="2" fontId="81" fillId="0" borderId="29" xfId="0" applyNumberFormat="1" applyFont="1" applyBorder="1" applyAlignment="1">
      <alignment horizontal="center"/>
    </xf>
    <xf numFmtId="2" fontId="68" fillId="0" borderId="29" xfId="0" applyNumberFormat="1" applyFont="1" applyBorder="1" applyAlignment="1">
      <alignment horizontal="center" wrapText="1"/>
    </xf>
    <xf numFmtId="2" fontId="44" fillId="0" borderId="47" xfId="0" applyNumberFormat="1" applyFont="1" applyBorder="1" applyAlignment="1">
      <alignment horizontal="center"/>
    </xf>
    <xf numFmtId="2" fontId="44" fillId="23" borderId="13" xfId="0" applyNumberFormat="1" applyFont="1" applyFill="1" applyBorder="1" applyAlignment="1">
      <alignment horizontal="center"/>
    </xf>
    <xf numFmtId="2" fontId="44" fillId="0" borderId="13" xfId="0" applyNumberFormat="1" applyFont="1" applyBorder="1" applyAlignment="1">
      <alignment horizontal="center"/>
    </xf>
    <xf numFmtId="0" fontId="51" fillId="18" borderId="16" xfId="0" applyFont="1" applyFill="1" applyBorder="1" applyAlignment="1">
      <alignment horizontal="right" wrapText="1" indent="4"/>
    </xf>
    <xf numFmtId="0" fontId="44" fillId="0" borderId="14" xfId="0" applyFont="1" applyBorder="1" applyAlignment="1">
      <alignment horizontal="center" wrapText="1"/>
    </xf>
    <xf numFmtId="2" fontId="68" fillId="0" borderId="0" xfId="0" applyNumberFormat="1" applyFont="1" applyAlignment="1">
      <alignment horizontal="center" wrapText="1"/>
    </xf>
    <xf numFmtId="2" fontId="68" fillId="0" borderId="16" xfId="0" applyNumberFormat="1" applyFont="1" applyBorder="1" applyAlignment="1">
      <alignment horizontal="center"/>
    </xf>
    <xf numFmtId="2" fontId="68" fillId="0" borderId="0" xfId="0" applyNumberFormat="1" applyFont="1" applyAlignment="1">
      <alignment horizontal="center"/>
    </xf>
    <xf numFmtId="2" fontId="44" fillId="0" borderId="16" xfId="0" applyNumberFormat="1" applyFont="1" applyBorder="1" applyAlignment="1">
      <alignment horizontal="center"/>
    </xf>
    <xf numFmtId="2" fontId="81" fillId="0" borderId="16" xfId="0" applyNumberFormat="1" applyFont="1" applyBorder="1" applyAlignment="1">
      <alignment horizontal="center"/>
    </xf>
    <xf numFmtId="2" fontId="68" fillId="0" borderId="16" xfId="0" applyNumberFormat="1" applyFont="1" applyBorder="1" applyAlignment="1">
      <alignment horizontal="center" wrapText="1"/>
    </xf>
    <xf numFmtId="0" fontId="78" fillId="18" borderId="16" xfId="0" applyFont="1" applyFill="1" applyBorder="1" applyAlignment="1">
      <alignment horizontal="right" wrapText="1" indent="4"/>
    </xf>
    <xf numFmtId="0" fontId="79" fillId="18" borderId="13" xfId="0" applyFont="1" applyFill="1" applyBorder="1" applyAlignment="1">
      <alignment horizontal="right" wrapText="1" indent="3"/>
    </xf>
    <xf numFmtId="0" fontId="44" fillId="0" borderId="16" xfId="0" applyFont="1" applyBorder="1" applyAlignment="1">
      <alignment horizontal="center" wrapText="1"/>
    </xf>
    <xf numFmtId="2" fontId="49" fillId="0" borderId="28" xfId="0" applyNumberFormat="1" applyFont="1" applyBorder="1" applyAlignment="1">
      <alignment horizontal="center" vertical="center"/>
    </xf>
    <xf numFmtId="2" fontId="81" fillId="0" borderId="0" xfId="0" applyNumberFormat="1" applyFont="1" applyAlignment="1">
      <alignment horizontal="center"/>
    </xf>
    <xf numFmtId="2" fontId="68" fillId="0" borderId="13" xfId="0" applyNumberFormat="1" applyFont="1" applyBorder="1" applyAlignment="1">
      <alignment horizontal="center" wrapText="1"/>
    </xf>
    <xf numFmtId="2" fontId="68" fillId="0" borderId="14" xfId="0" applyNumberFormat="1" applyFont="1" applyBorder="1" applyAlignment="1">
      <alignment horizontal="center" wrapText="1"/>
    </xf>
    <xf numFmtId="2" fontId="81" fillId="0" borderId="14" xfId="0" applyNumberFormat="1" applyFont="1" applyBorder="1" applyAlignment="1">
      <alignment horizontal="center"/>
    </xf>
    <xf numFmtId="2" fontId="44" fillId="0" borderId="14" xfId="0" applyNumberFormat="1" applyFont="1" applyBorder="1" applyAlignment="1">
      <alignment horizontal="center"/>
    </xf>
    <xf numFmtId="2" fontId="49" fillId="0" borderId="28" xfId="0" applyNumberFormat="1" applyFont="1" applyBorder="1" applyAlignment="1">
      <alignment horizontal="center"/>
    </xf>
    <xf numFmtId="0" fontId="46" fillId="0" borderId="14" xfId="0" applyFont="1" applyBorder="1" applyAlignment="1">
      <alignment horizontal="center" wrapText="1"/>
    </xf>
    <xf numFmtId="0" fontId="79" fillId="18" borderId="13" xfId="0" applyFont="1" applyFill="1" applyBorder="1" applyAlignment="1">
      <alignment horizontal="right" wrapText="1" indent="2"/>
    </xf>
    <xf numFmtId="0" fontId="46" fillId="0" borderId="16" xfId="0" applyFont="1" applyBorder="1" applyAlignment="1">
      <alignment horizontal="center" wrapText="1"/>
    </xf>
    <xf numFmtId="0" fontId="71" fillId="18" borderId="13" xfId="0" applyFont="1" applyFill="1" applyBorder="1" applyAlignment="1">
      <alignment horizontal="right" wrapText="1" indent="3"/>
    </xf>
    <xf numFmtId="0" fontId="79" fillId="18" borderId="13" xfId="0" applyFont="1" applyFill="1" applyBorder="1" applyAlignment="1">
      <alignment horizontal="right" wrapText="1" indent="1"/>
    </xf>
    <xf numFmtId="178" fontId="51" fillId="18" borderId="13" xfId="0" applyNumberFormat="1" applyFont="1" applyFill="1" applyBorder="1" applyAlignment="1">
      <alignment horizontal="center" wrapText="1"/>
    </xf>
    <xf numFmtId="0" fontId="51" fillId="18" borderId="13" xfId="0" applyFont="1" applyFill="1" applyBorder="1" applyAlignment="1">
      <alignment horizontal="right" wrapText="1" indent="2"/>
    </xf>
    <xf numFmtId="2" fontId="49" fillId="0" borderId="13" xfId="0" applyNumberFormat="1" applyFont="1" applyBorder="1" applyAlignment="1">
      <alignment horizontal="center"/>
    </xf>
    <xf numFmtId="2" fontId="44" fillId="23" borderId="26" xfId="0" applyNumberFormat="1" applyFont="1" applyFill="1" applyBorder="1" applyAlignment="1">
      <alignment horizontal="center"/>
    </xf>
    <xf numFmtId="2" fontId="44" fillId="0" borderId="26" xfId="0" applyNumberFormat="1" applyFont="1" applyBorder="1" applyAlignment="1">
      <alignment horizontal="center"/>
    </xf>
    <xf numFmtId="0" fontId="46" fillId="0" borderId="28" xfId="0" applyFont="1" applyBorder="1" applyAlignment="1">
      <alignment horizontal="center" wrapText="1"/>
    </xf>
    <xf numFmtId="0" fontId="44" fillId="0" borderId="1" xfId="0" applyFont="1" applyBorder="1" applyAlignment="1">
      <alignment horizontal="center" wrapText="1"/>
    </xf>
    <xf numFmtId="2" fontId="44" fillId="0" borderId="1" xfId="0" applyNumberFormat="1" applyFont="1" applyBorder="1" applyAlignment="1">
      <alignment horizontal="center"/>
    </xf>
    <xf numFmtId="2" fontId="49" fillId="0" borderId="16" xfId="0" applyNumberFormat="1" applyFont="1" applyBorder="1" applyAlignment="1">
      <alignment horizontal="center" vertical="center"/>
    </xf>
    <xf numFmtId="178" fontId="51" fillId="18" borderId="16" xfId="0" applyNumberFormat="1" applyFont="1" applyFill="1" applyBorder="1" applyAlignment="1">
      <alignment horizontal="center" wrapText="1"/>
    </xf>
    <xf numFmtId="0" fontId="51" fillId="18" borderId="13" xfId="0" applyFont="1" applyFill="1" applyBorder="1" applyAlignment="1">
      <alignment horizontal="right" wrapText="1" indent="1"/>
    </xf>
    <xf numFmtId="2" fontId="80" fillId="18" borderId="16" xfId="0" applyNumberFormat="1" applyFont="1" applyFill="1" applyBorder="1" applyAlignment="1">
      <alignment horizontal="right" wrapText="1"/>
    </xf>
    <xf numFmtId="0" fontId="46" fillId="0" borderId="27" xfId="0" applyFont="1" applyBorder="1" applyAlignment="1">
      <alignment horizontal="center" wrapText="1"/>
    </xf>
    <xf numFmtId="0" fontId="44" fillId="0" borderId="29" xfId="0" applyFont="1" applyBorder="1" applyAlignment="1">
      <alignment horizontal="center" vertical="center"/>
    </xf>
    <xf numFmtId="0" fontId="44" fillId="14" borderId="16" xfId="0" applyFont="1" applyFill="1" applyBorder="1" applyAlignment="1">
      <alignment horizontal="center"/>
    </xf>
    <xf numFmtId="0" fontId="44" fillId="14" borderId="28" xfId="0" applyFont="1" applyFill="1" applyBorder="1" applyAlignment="1">
      <alignment horizontal="center"/>
    </xf>
    <xf numFmtId="0" fontId="44" fillId="14" borderId="0" xfId="0" applyFont="1" applyFill="1" applyAlignment="1">
      <alignment horizontal="center"/>
    </xf>
    <xf numFmtId="0" fontId="44" fillId="0" borderId="1" xfId="0" applyFont="1" applyBorder="1" applyAlignment="1">
      <alignment horizontal="center" vertical="center"/>
    </xf>
    <xf numFmtId="0" fontId="44" fillId="0" borderId="47" xfId="0" applyFont="1" applyBorder="1" applyAlignment="1">
      <alignment horizontal="center"/>
    </xf>
    <xf numFmtId="0" fontId="82" fillId="18" borderId="29" xfId="0" applyFont="1" applyFill="1" applyBorder="1" applyAlignment="1">
      <alignment horizontal="right" vertical="center" wrapText="1" indent="1"/>
    </xf>
    <xf numFmtId="0" fontId="82" fillId="18" borderId="16" xfId="0" applyFont="1" applyFill="1" applyBorder="1" applyAlignment="1">
      <alignment horizontal="right" vertical="center" wrapText="1" indent="1"/>
    </xf>
    <xf numFmtId="0" fontId="51" fillId="18" borderId="16" xfId="0" applyFont="1" applyFill="1" applyBorder="1" applyAlignment="1">
      <alignment horizontal="right" vertical="center" wrapText="1" indent="1"/>
    </xf>
    <xf numFmtId="0" fontId="82" fillId="18" borderId="16" xfId="0" applyFont="1" applyFill="1" applyBorder="1" applyAlignment="1">
      <alignment horizontal="right" wrapText="1" indent="1"/>
    </xf>
    <xf numFmtId="0" fontId="51" fillId="18" borderId="28" xfId="0" applyFont="1" applyFill="1" applyBorder="1" applyAlignment="1">
      <alignment horizontal="right" vertical="center" wrapText="1" indent="1"/>
    </xf>
    <xf numFmtId="0" fontId="44" fillId="14" borderId="0" xfId="0" applyFont="1" applyFill="1" applyAlignment="1">
      <alignment horizontal="right" vertical="center" indent="1"/>
    </xf>
    <xf numFmtId="0" fontId="49" fillId="0" borderId="1" xfId="0" applyFont="1" applyBorder="1" applyAlignment="1">
      <alignment horizontal="center" vertical="center"/>
    </xf>
    <xf numFmtId="0" fontId="44" fillId="0" borderId="47" xfId="0" applyFont="1" applyBorder="1" applyAlignment="1">
      <alignment horizontal="right" vertical="center" indent="1"/>
    </xf>
    <xf numFmtId="178" fontId="44" fillId="0" borderId="0" xfId="0" applyNumberFormat="1" applyFont="1" applyAlignment="1">
      <alignment horizontal="center"/>
    </xf>
    <xf numFmtId="178" fontId="44" fillId="0" borderId="29" xfId="0" applyNumberFormat="1" applyFont="1" applyBorder="1" applyAlignment="1">
      <alignment horizontal="center" vertical="center"/>
    </xf>
    <xf numFmtId="178" fontId="51" fillId="18" borderId="29" xfId="0" applyNumberFormat="1" applyFont="1" applyFill="1" applyBorder="1" applyAlignment="1">
      <alignment horizontal="center" wrapText="1"/>
    </xf>
    <xf numFmtId="178" fontId="51" fillId="18" borderId="28" xfId="0" applyNumberFormat="1" applyFont="1" applyFill="1" applyBorder="1" applyAlignment="1">
      <alignment horizontal="center" wrapText="1"/>
    </xf>
    <xf numFmtId="178" fontId="44" fillId="14" borderId="0" xfId="0" applyNumberFormat="1" applyFont="1" applyFill="1" applyAlignment="1">
      <alignment horizontal="center"/>
    </xf>
    <xf numFmtId="178" fontId="44" fillId="0" borderId="47" xfId="0" applyNumberFormat="1" applyFont="1" applyBorder="1" applyAlignment="1">
      <alignment horizontal="center"/>
    </xf>
    <xf numFmtId="177" fontId="82" fillId="18" borderId="29" xfId="0" quotePrefix="1" applyNumberFormat="1" applyFont="1" applyFill="1" applyBorder="1" applyAlignment="1">
      <alignment horizontal="center" wrapText="1"/>
    </xf>
    <xf numFmtId="177" fontId="82" fillId="18" borderId="16" xfId="0" quotePrefix="1" applyNumberFormat="1" applyFont="1" applyFill="1" applyBorder="1" applyAlignment="1">
      <alignment horizontal="center" wrapText="1"/>
    </xf>
    <xf numFmtId="177" fontId="51" fillId="18" borderId="16" xfId="0" applyNumberFormat="1" applyFont="1" applyFill="1" applyBorder="1" applyAlignment="1">
      <alignment horizontal="center" wrapText="1"/>
    </xf>
    <xf numFmtId="177" fontId="51" fillId="18" borderId="16" xfId="0" quotePrefix="1" applyNumberFormat="1" applyFont="1" applyFill="1" applyBorder="1" applyAlignment="1">
      <alignment horizontal="center" wrapText="1"/>
    </xf>
    <xf numFmtId="177" fontId="51" fillId="18" borderId="28" xfId="0" applyNumberFormat="1" applyFont="1" applyFill="1" applyBorder="1" applyAlignment="1">
      <alignment horizontal="center" wrapText="1"/>
    </xf>
    <xf numFmtId="0" fontId="44" fillId="14" borderId="1" xfId="0" applyFont="1" applyFill="1" applyBorder="1"/>
    <xf numFmtId="0" fontId="44" fillId="0" borderId="47" xfId="0" applyFont="1" applyBorder="1"/>
    <xf numFmtId="0" fontId="0" fillId="0" borderId="0" xfId="0" applyAlignment="1">
      <alignment horizontal="left"/>
    </xf>
    <xf numFmtId="0" fontId="47" fillId="28" borderId="6" xfId="0" applyFont="1" applyFill="1" applyBorder="1" applyAlignment="1">
      <alignment horizontal="center"/>
    </xf>
    <xf numFmtId="0" fontId="47" fillId="28" borderId="6" xfId="0" applyFont="1" applyFill="1" applyBorder="1" applyAlignment="1">
      <alignment horizontal="left" indent="3"/>
    </xf>
    <xf numFmtId="1" fontId="47" fillId="28" borderId="30" xfId="0" applyNumberFormat="1" applyFont="1" applyFill="1" applyBorder="1" applyAlignment="1">
      <alignment horizontal="center"/>
    </xf>
    <xf numFmtId="171" fontId="47" fillId="28" borderId="6" xfId="0" applyNumberFormat="1" applyFont="1" applyFill="1" applyBorder="1" applyAlignment="1">
      <alignment horizontal="center"/>
    </xf>
    <xf numFmtId="2" fontId="47" fillId="28" borderId="30" xfId="0" applyNumberFormat="1" applyFont="1" applyFill="1" applyBorder="1" applyAlignment="1">
      <alignment horizontal="center"/>
    </xf>
    <xf numFmtId="0" fontId="44" fillId="28" borderId="30" xfId="0" applyFont="1" applyFill="1" applyBorder="1" applyAlignment="1">
      <alignment horizontal="center"/>
    </xf>
    <xf numFmtId="0" fontId="47" fillId="28" borderId="30" xfId="0" applyFont="1" applyFill="1" applyBorder="1" applyAlignment="1">
      <alignment horizontal="center"/>
    </xf>
    <xf numFmtId="1" fontId="47" fillId="29" borderId="30" xfId="0" applyNumberFormat="1" applyFont="1" applyFill="1" applyBorder="1" applyAlignment="1">
      <alignment horizontal="center"/>
    </xf>
    <xf numFmtId="4" fontId="47" fillId="29" borderId="6" xfId="0" applyNumberFormat="1" applyFont="1" applyFill="1" applyBorder="1" applyAlignment="1">
      <alignment horizontal="center"/>
    </xf>
    <xf numFmtId="3" fontId="47" fillId="29" borderId="6" xfId="0" applyNumberFormat="1" applyFont="1" applyFill="1" applyBorder="1" applyAlignment="1">
      <alignment horizontal="center"/>
    </xf>
    <xf numFmtId="0" fontId="47" fillId="28" borderId="6" xfId="0" applyFont="1" applyFill="1" applyBorder="1" applyAlignment="1">
      <alignment horizontal="left"/>
    </xf>
    <xf numFmtId="173" fontId="47" fillId="28" borderId="6" xfId="0" applyNumberFormat="1" applyFont="1" applyFill="1" applyBorder="1" applyAlignment="1">
      <alignment horizontal="left"/>
    </xf>
    <xf numFmtId="0" fontId="47" fillId="20" borderId="6" xfId="0" applyFont="1" applyFill="1" applyBorder="1" applyAlignment="1">
      <alignment horizontal="left" indent="3"/>
    </xf>
    <xf numFmtId="0" fontId="47" fillId="30" borderId="6" xfId="0" applyFont="1" applyFill="1" applyBorder="1" applyAlignment="1">
      <alignment horizontal="center"/>
    </xf>
    <xf numFmtId="0" fontId="47" fillId="30" borderId="6" xfId="0" applyFont="1" applyFill="1" applyBorder="1" applyAlignment="1">
      <alignment horizontal="left" indent="2"/>
    </xf>
    <xf numFmtId="1" fontId="47" fillId="30" borderId="30" xfId="0" applyNumberFormat="1" applyFont="1" applyFill="1" applyBorder="1" applyAlignment="1">
      <alignment horizontal="center"/>
    </xf>
    <xf numFmtId="171" fontId="47" fillId="30" borderId="6" xfId="0" applyNumberFormat="1" applyFont="1" applyFill="1" applyBorder="1" applyAlignment="1">
      <alignment horizontal="center"/>
    </xf>
    <xf numFmtId="2" fontId="47" fillId="30" borderId="30" xfId="0" applyNumberFormat="1" applyFont="1" applyFill="1" applyBorder="1" applyAlignment="1">
      <alignment horizontal="center"/>
    </xf>
    <xf numFmtId="0" fontId="44" fillId="30" borderId="30" xfId="0" applyFont="1" applyFill="1" applyBorder="1" applyAlignment="1">
      <alignment horizontal="center"/>
    </xf>
    <xf numFmtId="0" fontId="47" fillId="30" borderId="30" xfId="0" applyFont="1" applyFill="1" applyBorder="1" applyAlignment="1">
      <alignment horizontal="center"/>
    </xf>
    <xf numFmtId="1" fontId="47" fillId="31" borderId="30" xfId="0" applyNumberFormat="1" applyFont="1" applyFill="1" applyBorder="1" applyAlignment="1">
      <alignment horizontal="center"/>
    </xf>
    <xf numFmtId="4" fontId="47" fillId="31" borderId="6" xfId="0" applyNumberFormat="1" applyFont="1" applyFill="1" applyBorder="1" applyAlignment="1">
      <alignment horizontal="center"/>
    </xf>
    <xf numFmtId="3" fontId="47" fillId="31" borderId="6" xfId="0" applyNumberFormat="1" applyFont="1" applyFill="1" applyBorder="1" applyAlignment="1">
      <alignment horizontal="center"/>
    </xf>
    <xf numFmtId="0" fontId="47" fillId="30" borderId="6" xfId="0" applyFont="1" applyFill="1" applyBorder="1" applyAlignment="1">
      <alignment horizontal="left"/>
    </xf>
    <xf numFmtId="173" fontId="47" fillId="30" borderId="6" xfId="0" applyNumberFormat="1" applyFont="1" applyFill="1" applyBorder="1" applyAlignment="1">
      <alignment horizontal="left"/>
    </xf>
    <xf numFmtId="0" fontId="47" fillId="29" borderId="30" xfId="0" applyFont="1" applyFill="1" applyBorder="1" applyAlignment="1">
      <alignment horizontal="left"/>
    </xf>
    <xf numFmtId="170" fontId="44" fillId="32" borderId="34" xfId="0" applyNumberFormat="1" applyFont="1" applyFill="1" applyBorder="1" applyAlignment="1">
      <alignment horizontal="center" vertical="center"/>
    </xf>
    <xf numFmtId="9" fontId="44" fillId="32" borderId="33" xfId="24" applyFont="1" applyFill="1" applyBorder="1" applyAlignment="1">
      <alignment horizontal="center" vertical="center"/>
    </xf>
    <xf numFmtId="171" fontId="44" fillId="32" borderId="24" xfId="0" applyNumberFormat="1" applyFont="1" applyFill="1" applyBorder="1" applyAlignment="1">
      <alignment horizontal="center" vertical="center"/>
    </xf>
    <xf numFmtId="171" fontId="44" fillId="32" borderId="23" xfId="0" applyNumberFormat="1" applyFont="1" applyFill="1" applyBorder="1" applyAlignment="1">
      <alignment horizontal="center" vertical="center"/>
    </xf>
    <xf numFmtId="4" fontId="47" fillId="32" borderId="24" xfId="0" applyNumberFormat="1" applyFont="1" applyFill="1" applyBorder="1" applyAlignment="1">
      <alignment horizontal="center" vertical="center"/>
    </xf>
    <xf numFmtId="9" fontId="47" fillId="32" borderId="25" xfId="24" applyFont="1" applyFill="1" applyBorder="1" applyAlignment="1">
      <alignment horizontal="center" vertical="center"/>
    </xf>
    <xf numFmtId="170" fontId="44" fillId="32" borderId="23" xfId="0" applyNumberFormat="1" applyFont="1" applyFill="1" applyBorder="1" applyAlignment="1">
      <alignment horizontal="center" vertical="center"/>
    </xf>
    <xf numFmtId="170" fontId="44" fillId="32" borderId="33" xfId="0" applyNumberFormat="1" applyFont="1" applyFill="1" applyBorder="1" applyAlignment="1">
      <alignment horizontal="center" vertical="center"/>
    </xf>
    <xf numFmtId="0" fontId="44" fillId="32" borderId="25" xfId="0" applyFont="1" applyFill="1" applyBorder="1" applyAlignment="1">
      <alignment horizontal="center" vertical="center"/>
    </xf>
    <xf numFmtId="2" fontId="44" fillId="32" borderId="25" xfId="0" applyNumberFormat="1" applyFont="1" applyFill="1" applyBorder="1" applyAlignment="1">
      <alignment horizontal="center" vertical="center"/>
    </xf>
    <xf numFmtId="2" fontId="44" fillId="32" borderId="17" xfId="0" applyNumberFormat="1" applyFont="1" applyFill="1" applyBorder="1" applyAlignment="1">
      <alignment horizontal="center" vertical="center"/>
    </xf>
    <xf numFmtId="9" fontId="44" fillId="32" borderId="24" xfId="24" applyFont="1" applyFill="1" applyBorder="1" applyAlignment="1">
      <alignment horizontal="center" vertical="center"/>
    </xf>
    <xf numFmtId="169" fontId="44" fillId="32" borderId="24" xfId="0" applyNumberFormat="1" applyFont="1" applyFill="1" applyBorder="1" applyAlignment="1">
      <alignment horizontal="center" vertical="center"/>
    </xf>
    <xf numFmtId="170" fontId="70" fillId="32" borderId="33" xfId="0" applyNumberFormat="1" applyFont="1" applyFill="1" applyBorder="1" applyAlignment="1">
      <alignment horizontal="center" vertical="center"/>
    </xf>
    <xf numFmtId="9" fontId="44" fillId="32" borderId="17" xfId="24" applyFont="1" applyFill="1" applyBorder="1" applyAlignment="1">
      <alignment horizontal="center" vertical="center"/>
    </xf>
    <xf numFmtId="170" fontId="70" fillId="32" borderId="5" xfId="0" applyNumberFormat="1" applyFont="1" applyFill="1" applyBorder="1" applyAlignment="1">
      <alignment vertical="center"/>
    </xf>
    <xf numFmtId="170" fontId="85" fillId="32" borderId="5" xfId="0" applyNumberFormat="1" applyFont="1" applyFill="1" applyBorder="1" applyAlignment="1">
      <alignment horizontal="center" vertical="center"/>
    </xf>
    <xf numFmtId="3" fontId="44" fillId="32" borderId="25" xfId="0" applyNumberFormat="1" applyFont="1" applyFill="1" applyBorder="1" applyAlignment="1">
      <alignment horizontal="center" vertical="center"/>
    </xf>
    <xf numFmtId="0" fontId="44" fillId="32" borderId="34" xfId="0" applyFont="1" applyFill="1" applyBorder="1" applyAlignment="1">
      <alignment horizontal="center" vertical="center"/>
    </xf>
    <xf numFmtId="170" fontId="44" fillId="32" borderId="24" xfId="0" applyNumberFormat="1" applyFont="1" applyFill="1" applyBorder="1" applyAlignment="1">
      <alignment horizontal="center" vertical="center"/>
    </xf>
    <xf numFmtId="170" fontId="44" fillId="32" borderId="25" xfId="0" applyNumberFormat="1" applyFont="1" applyFill="1" applyBorder="1" applyAlignment="1">
      <alignment horizontal="center" vertical="center"/>
    </xf>
    <xf numFmtId="170" fontId="49" fillId="32" borderId="25" xfId="0" applyNumberFormat="1" applyFont="1" applyFill="1" applyBorder="1" applyAlignment="1">
      <alignment horizontal="center" vertical="center"/>
    </xf>
    <xf numFmtId="170" fontId="44" fillId="32" borderId="60" xfId="0" applyNumberFormat="1" applyFont="1" applyFill="1" applyBorder="1" applyAlignment="1">
      <alignment horizontal="center" vertical="center"/>
    </xf>
    <xf numFmtId="170" fontId="49" fillId="32" borderId="23" xfId="0" applyNumberFormat="1" applyFont="1" applyFill="1" applyBorder="1" applyAlignment="1">
      <alignment horizontal="center" vertical="center"/>
    </xf>
    <xf numFmtId="10" fontId="44" fillId="32" borderId="6" xfId="24" applyNumberFormat="1" applyFont="1" applyFill="1" applyBorder="1" applyAlignment="1">
      <alignment horizontal="center" vertical="center"/>
    </xf>
    <xf numFmtId="179" fontId="44" fillId="32" borderId="6" xfId="0" applyNumberFormat="1" applyFont="1" applyFill="1" applyBorder="1" applyAlignment="1">
      <alignment horizontal="center" vertical="center"/>
    </xf>
    <xf numFmtId="180" fontId="44" fillId="32" borderId="6" xfId="0" applyNumberFormat="1" applyFont="1" applyFill="1" applyBorder="1" applyAlignment="1">
      <alignment horizontal="center" vertical="center"/>
    </xf>
    <xf numFmtId="10" fontId="86" fillId="32" borderId="6" xfId="24" applyNumberFormat="1" applyFont="1" applyFill="1" applyBorder="1" applyAlignment="1">
      <alignment horizontal="center" vertical="center"/>
    </xf>
    <xf numFmtId="168" fontId="86" fillId="32" borderId="6" xfId="0" applyNumberFormat="1" applyFont="1" applyFill="1" applyBorder="1" applyAlignment="1">
      <alignment horizontal="center" vertical="center"/>
    </xf>
    <xf numFmtId="2" fontId="86" fillId="32" borderId="6" xfId="0" applyNumberFormat="1" applyFont="1" applyFill="1" applyBorder="1" applyAlignment="1">
      <alignment horizontal="center" vertical="center"/>
    </xf>
    <xf numFmtId="178" fontId="44" fillId="32" borderId="6" xfId="24" applyNumberFormat="1" applyFont="1" applyFill="1" applyBorder="1" applyAlignment="1">
      <alignment horizontal="center" vertical="center"/>
    </xf>
    <xf numFmtId="168" fontId="44" fillId="32" borderId="6" xfId="24" applyNumberFormat="1" applyFont="1" applyFill="1" applyBorder="1" applyAlignment="1">
      <alignment horizontal="center" vertical="center"/>
    </xf>
    <xf numFmtId="168" fontId="49" fillId="32" borderId="6" xfId="24" applyNumberFormat="1" applyFont="1" applyFill="1" applyBorder="1" applyAlignment="1">
      <alignment horizontal="center" vertical="center"/>
    </xf>
    <xf numFmtId="3" fontId="44" fillId="32" borderId="6" xfId="0" applyNumberFormat="1" applyFont="1" applyFill="1" applyBorder="1" applyAlignment="1" applyProtection="1">
      <alignment horizontal="center"/>
      <protection locked="0"/>
    </xf>
    <xf numFmtId="167" fontId="47" fillId="32" borderId="37" xfId="0" applyNumberFormat="1" applyFont="1" applyFill="1" applyBorder="1" applyAlignment="1">
      <alignment horizontal="right" vertical="center" wrapText="1"/>
    </xf>
    <xf numFmtId="4" fontId="47" fillId="32" borderId="19" xfId="0" applyNumberFormat="1" applyFont="1" applyFill="1" applyBorder="1" applyAlignment="1">
      <alignment horizontal="center" vertical="center"/>
    </xf>
    <xf numFmtId="167" fontId="47" fillId="32" borderId="52" xfId="0" applyNumberFormat="1" applyFont="1" applyFill="1" applyBorder="1" applyAlignment="1">
      <alignment horizontal="right" vertical="center" wrapText="1"/>
    </xf>
    <xf numFmtId="167" fontId="47" fillId="32" borderId="38" xfId="0" applyNumberFormat="1" applyFont="1" applyFill="1" applyBorder="1" applyAlignment="1">
      <alignment horizontal="right" vertical="center" wrapText="1"/>
    </xf>
    <xf numFmtId="4" fontId="47" fillId="32" borderId="39" xfId="0" applyNumberFormat="1" applyFont="1" applyFill="1" applyBorder="1" applyAlignment="1">
      <alignment horizontal="center" vertical="center"/>
    </xf>
    <xf numFmtId="167" fontId="47" fillId="32" borderId="50" xfId="0" applyNumberFormat="1" applyFont="1" applyFill="1" applyBorder="1" applyAlignment="1">
      <alignment horizontal="right" vertical="center" wrapText="1"/>
    </xf>
    <xf numFmtId="0" fontId="72" fillId="33" borderId="57" xfId="0" applyFont="1" applyFill="1" applyBorder="1" applyAlignment="1">
      <alignment horizontal="center" vertical="center" wrapText="1"/>
    </xf>
    <xf numFmtId="0" fontId="72" fillId="33" borderId="56" xfId="0" applyFont="1" applyFill="1" applyBorder="1" applyAlignment="1">
      <alignment horizontal="center" vertical="center"/>
    </xf>
    <xf numFmtId="0" fontId="72" fillId="33" borderId="55" xfId="0" applyFont="1" applyFill="1" applyBorder="1" applyAlignment="1">
      <alignment horizontal="center" vertical="center" wrapText="1"/>
    </xf>
    <xf numFmtId="0" fontId="72" fillId="33" borderId="54" xfId="0" applyFont="1" applyFill="1" applyBorder="1" applyAlignment="1">
      <alignment horizontal="center" vertical="center" wrapText="1"/>
    </xf>
    <xf numFmtId="0" fontId="72" fillId="33" borderId="59" xfId="0" applyFont="1" applyFill="1" applyBorder="1" applyAlignment="1">
      <alignment horizontal="center" vertical="center" wrapText="1"/>
    </xf>
    <xf numFmtId="0" fontId="72" fillId="33" borderId="53" xfId="0" applyFont="1" applyFill="1" applyBorder="1" applyAlignment="1">
      <alignment horizontal="center" vertical="center" wrapText="1"/>
    </xf>
    <xf numFmtId="4" fontId="49" fillId="32" borderId="6" xfId="0" applyNumberFormat="1" applyFont="1" applyFill="1" applyBorder="1" applyAlignment="1">
      <alignment horizontal="center" vertical="center"/>
    </xf>
    <xf numFmtId="4" fontId="44" fillId="32" borderId="6" xfId="0" applyNumberFormat="1" applyFont="1" applyFill="1" applyBorder="1" applyAlignment="1">
      <alignment horizontal="center" vertical="center" wrapText="1"/>
    </xf>
    <xf numFmtId="4" fontId="49" fillId="32" borderId="6" xfId="0" applyNumberFormat="1" applyFont="1" applyFill="1" applyBorder="1" applyAlignment="1">
      <alignment horizontal="center" vertical="center" wrapText="1"/>
    </xf>
    <xf numFmtId="0" fontId="44" fillId="32" borderId="6" xfId="0" applyFont="1" applyFill="1" applyBorder="1" applyAlignment="1">
      <alignment horizontal="center"/>
    </xf>
    <xf numFmtId="3" fontId="44" fillId="32" borderId="6" xfId="0" applyNumberFormat="1" applyFont="1" applyFill="1" applyBorder="1" applyAlignment="1">
      <alignment horizontal="center"/>
    </xf>
    <xf numFmtId="0" fontId="44" fillId="32" borderId="29" xfId="0" applyFont="1" applyFill="1" applyBorder="1" applyAlignment="1">
      <alignment horizontal="center"/>
    </xf>
    <xf numFmtId="3" fontId="44" fillId="32" borderId="29" xfId="0" applyNumberFormat="1" applyFont="1" applyFill="1" applyBorder="1" applyAlignment="1">
      <alignment horizontal="center"/>
    </xf>
    <xf numFmtId="1" fontId="44" fillId="32" borderId="6" xfId="0" applyNumberFormat="1" applyFont="1" applyFill="1" applyBorder="1" applyAlignment="1">
      <alignment horizontal="right" vertical="center" indent="1"/>
    </xf>
    <xf numFmtId="174" fontId="44" fillId="32" borderId="6" xfId="25" applyNumberFormat="1" applyFont="1" applyFill="1" applyBorder="1" applyAlignment="1">
      <alignment horizontal="right" vertical="center" indent="1"/>
    </xf>
    <xf numFmtId="0" fontId="44" fillId="32" borderId="6" xfId="0" applyFont="1" applyFill="1" applyBorder="1" applyAlignment="1">
      <alignment horizontal="left"/>
    </xf>
    <xf numFmtId="0" fontId="44" fillId="32" borderId="29" xfId="0" applyFont="1" applyFill="1" applyBorder="1" applyAlignment="1">
      <alignment horizontal="left"/>
    </xf>
    <xf numFmtId="0" fontId="44" fillId="32" borderId="69" xfId="0" applyFont="1" applyFill="1" applyBorder="1" applyAlignment="1">
      <alignment horizontal="left"/>
    </xf>
    <xf numFmtId="0" fontId="44" fillId="32" borderId="70" xfId="0" applyFont="1" applyFill="1" applyBorder="1" applyAlignment="1">
      <alignment horizontal="left"/>
    </xf>
    <xf numFmtId="0" fontId="44" fillId="32" borderId="28" xfId="0" applyFont="1" applyFill="1" applyBorder="1" applyAlignment="1">
      <alignment horizontal="left"/>
    </xf>
    <xf numFmtId="168" fontId="44" fillId="32" borderId="6" xfId="0" applyNumberFormat="1" applyFont="1" applyFill="1" applyBorder="1" applyAlignment="1">
      <alignment horizontal="center"/>
    </xf>
    <xf numFmtId="0" fontId="44" fillId="32" borderId="22" xfId="0" applyFont="1" applyFill="1" applyBorder="1" applyAlignment="1">
      <alignment horizontal="center" vertical="center" wrapText="1"/>
    </xf>
    <xf numFmtId="168" fontId="44" fillId="32" borderId="22" xfId="0" applyNumberFormat="1" applyFont="1" applyFill="1" applyBorder="1" applyAlignment="1">
      <alignment horizontal="center"/>
    </xf>
    <xf numFmtId="168" fontId="44" fillId="32" borderId="74" xfId="0" applyNumberFormat="1" applyFont="1" applyFill="1" applyBorder="1" applyAlignment="1">
      <alignment horizontal="center"/>
    </xf>
    <xf numFmtId="168" fontId="44" fillId="32" borderId="73" xfId="0" applyNumberFormat="1" applyFont="1" applyFill="1" applyBorder="1" applyAlignment="1">
      <alignment horizontal="center"/>
    </xf>
    <xf numFmtId="0" fontId="44" fillId="32" borderId="30" xfId="0" applyFont="1" applyFill="1" applyBorder="1" applyAlignment="1">
      <alignment horizontal="center"/>
    </xf>
    <xf numFmtId="0" fontId="44" fillId="32" borderId="6" xfId="0" applyFont="1" applyFill="1" applyBorder="1" applyAlignment="1" applyProtection="1">
      <alignment horizontal="center" vertical="center" wrapText="1"/>
      <protection locked="0"/>
    </xf>
    <xf numFmtId="0" fontId="44" fillId="32" borderId="6" xfId="0" applyFont="1" applyFill="1" applyBorder="1" applyAlignment="1" applyProtection="1">
      <alignment horizontal="center" vertical="center" textRotation="90" wrapText="1"/>
      <protection locked="0"/>
    </xf>
    <xf numFmtId="9" fontId="44" fillId="32" borderId="6" xfId="24" applyFont="1" applyFill="1" applyBorder="1" applyAlignment="1" applyProtection="1">
      <alignment horizontal="center" vertical="center" textRotation="90" wrapText="1"/>
      <protection locked="0"/>
    </xf>
    <xf numFmtId="0" fontId="44" fillId="32" borderId="6" xfId="0" applyFont="1" applyFill="1" applyBorder="1" applyAlignment="1">
      <alignment horizontal="center" vertical="center" wrapText="1"/>
    </xf>
    <xf numFmtId="0" fontId="44" fillId="32" borderId="6" xfId="0" applyFont="1" applyFill="1" applyBorder="1" applyAlignment="1">
      <alignment horizontal="center" vertical="center"/>
    </xf>
    <xf numFmtId="2" fontId="44" fillId="32" borderId="6" xfId="0" applyNumberFormat="1" applyFont="1" applyFill="1" applyBorder="1" applyAlignment="1">
      <alignment horizontal="center" vertical="center"/>
    </xf>
    <xf numFmtId="1" fontId="44" fillId="32" borderId="6" xfId="0" applyNumberFormat="1" applyFont="1" applyFill="1" applyBorder="1" applyAlignment="1">
      <alignment horizontal="center" vertical="center"/>
    </xf>
    <xf numFmtId="170" fontId="44" fillId="32" borderId="6" xfId="0" applyNumberFormat="1" applyFont="1" applyFill="1" applyBorder="1" applyAlignment="1">
      <alignment horizontal="center" vertical="center"/>
    </xf>
    <xf numFmtId="173" fontId="44" fillId="32" borderId="6" xfId="0" applyNumberFormat="1" applyFont="1" applyFill="1" applyBorder="1" applyAlignment="1">
      <alignment horizontal="center" vertical="center" wrapText="1"/>
    </xf>
    <xf numFmtId="3" fontId="44" fillId="32" borderId="6" xfId="25" applyNumberFormat="1" applyFont="1" applyFill="1" applyBorder="1" applyAlignment="1" applyProtection="1">
      <alignment horizontal="center" vertical="center"/>
      <protection locked="0"/>
    </xf>
    <xf numFmtId="175" fontId="44" fillId="32" borderId="6" xfId="25" applyNumberFormat="1" applyFont="1" applyFill="1" applyBorder="1" applyAlignment="1" applyProtection="1">
      <alignment horizontal="center" vertical="center"/>
      <protection locked="0"/>
    </xf>
    <xf numFmtId="4" fontId="44" fillId="32" borderId="6" xfId="0" applyNumberFormat="1" applyFont="1" applyFill="1" applyBorder="1" applyAlignment="1">
      <alignment horizontal="center" vertical="center"/>
    </xf>
    <xf numFmtId="170" fontId="44" fillId="32" borderId="6" xfId="0" applyNumberFormat="1" applyFont="1" applyFill="1" applyBorder="1" applyAlignment="1">
      <alignment horizontal="center" vertical="center" wrapText="1"/>
    </xf>
    <xf numFmtId="171" fontId="44" fillId="32" borderId="6" xfId="0" applyNumberFormat="1" applyFont="1" applyFill="1" applyBorder="1" applyAlignment="1">
      <alignment horizontal="center" vertical="center" wrapText="1"/>
    </xf>
    <xf numFmtId="2" fontId="44" fillId="32" borderId="6" xfId="0" applyNumberFormat="1" applyFont="1" applyFill="1" applyBorder="1" applyAlignment="1">
      <alignment horizontal="center" vertical="center" wrapText="1"/>
    </xf>
    <xf numFmtId="4" fontId="44" fillId="32" borderId="73" xfId="0" applyNumberFormat="1" applyFont="1" applyFill="1" applyBorder="1" applyAlignment="1">
      <alignment horizontal="center" vertical="center" wrapText="1"/>
    </xf>
    <xf numFmtId="4" fontId="44" fillId="32" borderId="74" xfId="0" applyNumberFormat="1" applyFont="1" applyFill="1" applyBorder="1" applyAlignment="1">
      <alignment horizontal="center" vertical="center" wrapText="1"/>
    </xf>
    <xf numFmtId="168" fontId="44" fillId="32" borderId="6" xfId="0" applyNumberFormat="1" applyFont="1" applyFill="1" applyBorder="1" applyAlignment="1">
      <alignment horizontal="center" vertical="center" textRotation="90" wrapText="1"/>
    </xf>
    <xf numFmtId="0" fontId="44" fillId="32" borderId="6" xfId="0" applyFont="1" applyFill="1" applyBorder="1" applyAlignment="1">
      <alignment horizontal="center" vertical="center" textRotation="90" wrapText="1"/>
    </xf>
    <xf numFmtId="10" fontId="44" fillId="32" borderId="6" xfId="0" applyNumberFormat="1" applyFont="1" applyFill="1" applyBorder="1" applyAlignment="1">
      <alignment horizontal="center" vertical="center" wrapText="1"/>
    </xf>
    <xf numFmtId="0" fontId="49" fillId="32" borderId="22" xfId="0" applyFont="1" applyFill="1" applyBorder="1" applyAlignment="1">
      <alignment horizontal="left" vertical="center" indent="1"/>
    </xf>
    <xf numFmtId="0" fontId="44" fillId="32" borderId="30" xfId="0" applyFont="1" applyFill="1" applyBorder="1" applyAlignment="1">
      <alignment horizontal="right" vertical="center"/>
    </xf>
    <xf numFmtId="0" fontId="44" fillId="32" borderId="22" xfId="0" applyFont="1" applyFill="1" applyBorder="1" applyAlignment="1">
      <alignment horizontal="left" vertical="center" indent="1"/>
    </xf>
    <xf numFmtId="0" fontId="44" fillId="32" borderId="6" xfId="0" applyFont="1" applyFill="1" applyBorder="1" applyAlignment="1">
      <alignment vertical="center"/>
    </xf>
    <xf numFmtId="0" fontId="49" fillId="32" borderId="30" xfId="0" applyFont="1" applyFill="1" applyBorder="1" applyAlignment="1">
      <alignment horizontal="right" vertical="center"/>
    </xf>
    <xf numFmtId="0" fontId="44" fillId="32" borderId="5" xfId="0" applyFont="1" applyFill="1" applyBorder="1" applyAlignment="1">
      <alignment horizontal="right" vertical="center"/>
    </xf>
    <xf numFmtId="0" fontId="46" fillId="32" borderId="22" xfId="0" applyFont="1" applyFill="1" applyBorder="1" applyAlignment="1">
      <alignment horizontal="left" vertical="center" indent="1"/>
    </xf>
    <xf numFmtId="2" fontId="44" fillId="32" borderId="6" xfId="24" applyNumberFormat="1" applyFont="1" applyFill="1" applyBorder="1" applyAlignment="1">
      <alignment horizontal="center" vertical="center"/>
    </xf>
    <xf numFmtId="0" fontId="86" fillId="32" borderId="6" xfId="0" applyFont="1" applyFill="1" applyBorder="1" applyAlignment="1">
      <alignment horizontal="center" vertical="center"/>
    </xf>
    <xf numFmtId="2" fontId="84" fillId="34" borderId="0" xfId="0" applyNumberFormat="1" applyFont="1" applyFill="1" applyAlignment="1" applyProtection="1">
      <alignment vertical="center"/>
      <protection locked="0"/>
    </xf>
    <xf numFmtId="0" fontId="87" fillId="34" borderId="0" xfId="0" applyFont="1" applyFill="1" applyAlignment="1" applyProtection="1">
      <alignment horizontal="center" vertical="center"/>
      <protection locked="0"/>
    </xf>
    <xf numFmtId="0" fontId="84" fillId="34" borderId="16" xfId="0" applyFont="1" applyFill="1" applyBorder="1" applyAlignment="1">
      <alignment horizontal="center" vertical="center"/>
    </xf>
    <xf numFmtId="1" fontId="65" fillId="32" borderId="0" xfId="0" applyNumberFormat="1" applyFont="1" applyFill="1" applyAlignment="1" applyProtection="1">
      <alignment horizontal="center" vertical="center"/>
      <protection locked="0"/>
    </xf>
    <xf numFmtId="0" fontId="58" fillId="32" borderId="0" xfId="0" applyFont="1" applyFill="1" applyAlignment="1" applyProtection="1">
      <alignment horizontal="center" vertical="center"/>
      <protection locked="0"/>
    </xf>
    <xf numFmtId="170" fontId="58" fillId="32" borderId="0" xfId="0" applyNumberFormat="1" applyFont="1" applyFill="1" applyAlignment="1" applyProtection="1">
      <alignment horizontal="center" vertical="center"/>
      <protection locked="0"/>
    </xf>
    <xf numFmtId="1" fontId="58" fillId="32" borderId="0" xfId="0" applyNumberFormat="1" applyFont="1" applyFill="1" applyAlignment="1" applyProtection="1">
      <alignment horizontal="center" vertical="center"/>
      <protection locked="0"/>
    </xf>
    <xf numFmtId="169" fontId="66" fillId="32" borderId="0" xfId="24" applyNumberFormat="1" applyFont="1" applyFill="1" applyAlignment="1" applyProtection="1">
      <alignment horizontal="center" vertical="center"/>
      <protection locked="0"/>
    </xf>
    <xf numFmtId="4" fontId="66" fillId="32" borderId="0" xfId="0" applyNumberFormat="1" applyFont="1" applyFill="1" applyAlignment="1" applyProtection="1">
      <alignment horizontal="center" vertical="center"/>
      <protection locked="0"/>
    </xf>
    <xf numFmtId="0" fontId="66" fillId="32" borderId="0" xfId="0" applyFont="1" applyFill="1" applyAlignment="1" applyProtection="1">
      <alignment horizontal="center" vertical="center"/>
      <protection locked="0"/>
    </xf>
    <xf numFmtId="170" fontId="66" fillId="32" borderId="0" xfId="0" applyNumberFormat="1" applyFont="1" applyFill="1" applyAlignment="1" applyProtection="1">
      <alignment horizontal="center" vertical="center"/>
      <protection locked="0"/>
    </xf>
    <xf numFmtId="2" fontId="58" fillId="32" borderId="0" xfId="0" applyNumberFormat="1" applyFont="1" applyFill="1" applyAlignment="1" applyProtection="1">
      <alignment horizontal="center" vertical="center"/>
      <protection locked="0"/>
    </xf>
    <xf numFmtId="9" fontId="58" fillId="32" borderId="0" xfId="24" applyFont="1" applyFill="1" applyAlignment="1" applyProtection="1">
      <alignment horizontal="center" vertical="center"/>
      <protection locked="0"/>
    </xf>
    <xf numFmtId="170" fontId="59" fillId="32" borderId="0" xfId="0" applyNumberFormat="1" applyFont="1" applyFill="1" applyAlignment="1" applyProtection="1">
      <alignment horizontal="right" vertical="center"/>
      <protection locked="0"/>
    </xf>
    <xf numFmtId="170" fontId="59" fillId="32" borderId="0" xfId="0" applyNumberFormat="1" applyFont="1" applyFill="1" applyAlignment="1" applyProtection="1">
      <alignment vertical="center"/>
      <protection locked="0"/>
    </xf>
    <xf numFmtId="170" fontId="58" fillId="32" borderId="0" xfId="0" applyNumberFormat="1" applyFont="1" applyFill="1" applyAlignment="1" applyProtection="1">
      <alignment vertical="center"/>
      <protection locked="0"/>
    </xf>
    <xf numFmtId="170" fontId="60" fillId="32" borderId="0" xfId="0" applyNumberFormat="1" applyFont="1" applyFill="1" applyAlignment="1" applyProtection="1">
      <alignment horizontal="center" vertical="center"/>
      <protection locked="0"/>
    </xf>
    <xf numFmtId="169" fontId="60" fillId="32" borderId="0" xfId="25" applyNumberFormat="1" applyFont="1" applyFill="1" applyAlignment="1" applyProtection="1">
      <alignment horizontal="center" vertical="center"/>
      <protection locked="0"/>
    </xf>
    <xf numFmtId="166" fontId="60" fillId="32" borderId="0" xfId="25" applyFont="1" applyFill="1" applyAlignment="1" applyProtection="1">
      <alignment horizontal="center" vertical="center"/>
      <protection locked="0"/>
    </xf>
    <xf numFmtId="168" fontId="60" fillId="32" borderId="0" xfId="25" applyNumberFormat="1" applyFont="1" applyFill="1" applyAlignment="1" applyProtection="1">
      <alignment horizontal="center" vertical="center"/>
      <protection locked="0"/>
    </xf>
    <xf numFmtId="1" fontId="60" fillId="32" borderId="0" xfId="25" applyNumberFormat="1" applyFont="1" applyFill="1" applyAlignment="1" applyProtection="1">
      <alignment horizontal="center" vertical="center"/>
      <protection locked="0"/>
    </xf>
    <xf numFmtId="170" fontId="59" fillId="32" borderId="0" xfId="0" applyNumberFormat="1" applyFont="1" applyFill="1" applyAlignment="1" applyProtection="1">
      <alignment horizontal="center" vertical="center"/>
      <protection locked="0"/>
    </xf>
    <xf numFmtId="2" fontId="59" fillId="32" borderId="0" xfId="0" applyNumberFormat="1" applyFont="1" applyFill="1" applyAlignment="1" applyProtection="1">
      <alignment horizontal="center" vertical="center"/>
      <protection locked="0"/>
    </xf>
    <xf numFmtId="0" fontId="58" fillId="35" borderId="0" xfId="0" applyFont="1" applyFill="1" applyAlignment="1" applyProtection="1">
      <alignment vertical="center"/>
      <protection locked="0"/>
    </xf>
    <xf numFmtId="0" fontId="83" fillId="0" borderId="0" xfId="0" applyFont="1" applyAlignment="1">
      <alignment vertical="center" wrapText="1"/>
    </xf>
    <xf numFmtId="0" fontId="88" fillId="0" borderId="0" xfId="0" applyFont="1" applyAlignment="1" applyProtection="1">
      <alignment horizontal="center" vertical="center"/>
      <protection locked="0"/>
    </xf>
    <xf numFmtId="0" fontId="89" fillId="0" borderId="0" xfId="0" applyFont="1" applyAlignment="1" applyProtection="1">
      <alignment horizontal="center" vertical="top"/>
      <protection locked="0"/>
    </xf>
    <xf numFmtId="0" fontId="90" fillId="0" borderId="0" xfId="0" applyFont="1" applyAlignment="1" applyProtection="1">
      <alignment horizontal="center"/>
      <protection locked="0"/>
    </xf>
    <xf numFmtId="1" fontId="91" fillId="0" borderId="14" xfId="0" applyNumberFormat="1" applyFont="1" applyBorder="1" applyAlignment="1" applyProtection="1">
      <alignment horizontal="center"/>
      <protection locked="0"/>
    </xf>
    <xf numFmtId="0" fontId="90" fillId="0" borderId="45" xfId="0" applyFont="1" applyBorder="1" applyAlignment="1" applyProtection="1">
      <alignment horizontal="center" wrapText="1"/>
      <protection locked="0"/>
    </xf>
    <xf numFmtId="0" fontId="90" fillId="0" borderId="43" xfId="0" applyFont="1" applyBorder="1" applyAlignment="1" applyProtection="1">
      <alignment horizontal="center"/>
      <protection locked="0"/>
    </xf>
    <xf numFmtId="0" fontId="90" fillId="0" borderId="42" xfId="0" applyFont="1" applyBorder="1" applyAlignment="1" applyProtection="1">
      <alignment horizontal="center" wrapText="1"/>
      <protection locked="0"/>
    </xf>
    <xf numFmtId="0" fontId="90" fillId="0" borderId="45" xfId="0" applyFont="1" applyBorder="1" applyAlignment="1" applyProtection="1">
      <alignment horizontal="center"/>
      <protection locked="0"/>
    </xf>
    <xf numFmtId="0" fontId="90" fillId="0" borderId="43" xfId="0" applyFont="1" applyBorder="1" applyProtection="1">
      <protection locked="0"/>
    </xf>
    <xf numFmtId="0" fontId="90" fillId="0" borderId="42" xfId="0" applyFont="1" applyBorder="1" applyAlignment="1" applyProtection="1">
      <alignment horizontal="center" vertical="top"/>
      <protection locked="0"/>
    </xf>
    <xf numFmtId="0" fontId="90" fillId="0" borderId="42" xfId="0" applyFont="1" applyBorder="1" applyAlignment="1" applyProtection="1">
      <alignment horizontal="center"/>
      <protection locked="0"/>
    </xf>
    <xf numFmtId="0" fontId="91" fillId="0" borderId="14" xfId="0" applyFont="1" applyBorder="1" applyAlignment="1" applyProtection="1">
      <alignment horizontal="center" vertical="top"/>
      <protection locked="0"/>
    </xf>
    <xf numFmtId="0" fontId="90" fillId="0" borderId="42" xfId="0" applyFont="1" applyBorder="1" applyAlignment="1" applyProtection="1">
      <alignment horizontal="center" vertical="top" wrapText="1"/>
      <protection locked="0"/>
    </xf>
    <xf numFmtId="0" fontId="91" fillId="0" borderId="45" xfId="0" applyFont="1" applyBorder="1" applyAlignment="1" applyProtection="1">
      <alignment horizontal="center"/>
      <protection locked="0"/>
    </xf>
    <xf numFmtId="0" fontId="90" fillId="0" borderId="43" xfId="0" applyFont="1" applyBorder="1" applyAlignment="1" applyProtection="1">
      <alignment horizontal="center" vertical="top"/>
      <protection locked="0"/>
    </xf>
    <xf numFmtId="0" fontId="91" fillId="0" borderId="43" xfId="0" applyFont="1" applyBorder="1" applyAlignment="1" applyProtection="1">
      <alignment horizontal="center"/>
      <protection locked="0"/>
    </xf>
    <xf numFmtId="0" fontId="91" fillId="0" borderId="16" xfId="0" applyFont="1" applyBorder="1" applyAlignment="1" applyProtection="1">
      <alignment horizontal="center"/>
      <protection locked="0"/>
    </xf>
    <xf numFmtId="0" fontId="90" fillId="0" borderId="16" xfId="0" applyFont="1" applyBorder="1" applyAlignment="1" applyProtection="1">
      <alignment horizontal="center" vertical="top"/>
      <protection locked="0"/>
    </xf>
    <xf numFmtId="0" fontId="90" fillId="0" borderId="13" xfId="0" applyFont="1" applyBorder="1" applyAlignment="1" applyProtection="1">
      <alignment horizontal="center" vertical="top"/>
      <protection locked="0"/>
    </xf>
    <xf numFmtId="0" fontId="90" fillId="0" borderId="16" xfId="0" applyFont="1" applyBorder="1" applyAlignment="1" applyProtection="1">
      <alignment horizontal="center"/>
      <protection locked="0"/>
    </xf>
    <xf numFmtId="9" fontId="90" fillId="0" borderId="13" xfId="24" applyFont="1" applyBorder="1" applyAlignment="1" applyProtection="1">
      <alignment horizontal="center"/>
      <protection locked="0"/>
    </xf>
    <xf numFmtId="0" fontId="92" fillId="0" borderId="16" xfId="0" applyFont="1" applyBorder="1" applyAlignment="1" applyProtection="1">
      <alignment horizontal="center"/>
      <protection locked="0"/>
    </xf>
    <xf numFmtId="0" fontId="91" fillId="0" borderId="0" xfId="0" applyFont="1" applyAlignment="1" applyProtection="1">
      <alignment horizontal="center"/>
      <protection locked="0"/>
    </xf>
    <xf numFmtId="0" fontId="90" fillId="0" borderId="16" xfId="0" applyFont="1" applyBorder="1" applyAlignment="1" applyProtection="1">
      <alignment horizontal="center" vertical="center"/>
      <protection locked="0"/>
    </xf>
    <xf numFmtId="2" fontId="91" fillId="0" borderId="16" xfId="0" applyNumberFormat="1" applyFont="1" applyBorder="1" applyAlignment="1" applyProtection="1">
      <alignment horizontal="center" vertical="center"/>
      <protection locked="0"/>
    </xf>
    <xf numFmtId="2" fontId="90" fillId="0" borderId="16" xfId="0" applyNumberFormat="1" applyFont="1" applyBorder="1" applyAlignment="1" applyProtection="1">
      <alignment horizontal="center" vertical="center"/>
      <protection locked="0"/>
    </xf>
    <xf numFmtId="0" fontId="90" fillId="0" borderId="1" xfId="0" applyFont="1" applyBorder="1" applyAlignment="1" applyProtection="1">
      <alignment horizontal="center" wrapText="1"/>
      <protection locked="0"/>
    </xf>
    <xf numFmtId="4" fontId="90" fillId="0" borderId="1" xfId="0" applyNumberFormat="1" applyFont="1" applyBorder="1" applyAlignment="1" applyProtection="1">
      <alignment horizontal="center" wrapText="1"/>
      <protection locked="0"/>
    </xf>
    <xf numFmtId="1" fontId="91" fillId="0" borderId="27" xfId="0" applyNumberFormat="1" applyFont="1" applyBorder="1" applyAlignment="1" applyProtection="1">
      <alignment horizontal="center"/>
      <protection locked="0"/>
    </xf>
    <xf numFmtId="0" fontId="94" fillId="0" borderId="40" xfId="0" applyFont="1" applyBorder="1" applyAlignment="1" applyProtection="1">
      <alignment horizontal="center" wrapText="1"/>
      <protection locked="0"/>
    </xf>
    <xf numFmtId="0" fontId="94" fillId="0" borderId="41" xfId="0" applyFont="1" applyBorder="1" applyAlignment="1" applyProtection="1">
      <alignment horizontal="center"/>
      <protection locked="0"/>
    </xf>
    <xf numFmtId="0" fontId="94" fillId="0" borderId="35" xfId="0" applyFont="1" applyBorder="1" applyAlignment="1" applyProtection="1">
      <alignment horizontal="center"/>
      <protection locked="0"/>
    </xf>
    <xf numFmtId="0" fontId="94" fillId="0" borderId="40" xfId="0" applyFont="1" applyBorder="1" applyAlignment="1" applyProtection="1">
      <alignment horizontal="center"/>
      <protection locked="0"/>
    </xf>
    <xf numFmtId="0" fontId="94" fillId="0" borderId="41" xfId="0" applyFont="1" applyBorder="1" applyAlignment="1" applyProtection="1">
      <alignment horizontal="center" wrapText="1"/>
      <protection locked="0"/>
    </xf>
    <xf numFmtId="0" fontId="94" fillId="0" borderId="27" xfId="0" applyFont="1" applyBorder="1" applyAlignment="1" applyProtection="1">
      <alignment horizontal="center"/>
      <protection locked="0"/>
    </xf>
    <xf numFmtId="0" fontId="90" fillId="0" borderId="35" xfId="0" applyFont="1" applyBorder="1" applyAlignment="1" applyProtection="1">
      <alignment horizontal="center"/>
      <protection locked="0"/>
    </xf>
    <xf numFmtId="0" fontId="90" fillId="0" borderId="40" xfId="0" applyFont="1" applyBorder="1" applyAlignment="1" applyProtection="1">
      <alignment horizontal="center"/>
      <protection locked="0"/>
    </xf>
    <xf numFmtId="0" fontId="94" fillId="0" borderId="81" xfId="0" applyFont="1" applyBorder="1" applyAlignment="1" applyProtection="1">
      <alignment horizontal="center"/>
      <protection locked="0"/>
    </xf>
    <xf numFmtId="0" fontId="94" fillId="0" borderId="28" xfId="0" applyFont="1" applyBorder="1" applyAlignment="1" applyProtection="1">
      <alignment horizontal="center"/>
      <protection locked="0"/>
    </xf>
    <xf numFmtId="0" fontId="94" fillId="0" borderId="28" xfId="0" applyFont="1" applyBorder="1" applyAlignment="1" applyProtection="1">
      <alignment horizontal="center" wrapText="1"/>
      <protection locked="0"/>
    </xf>
    <xf numFmtId="0" fontId="94" fillId="0" borderId="26" xfId="0" applyFont="1" applyBorder="1" applyAlignment="1" applyProtection="1">
      <alignment horizontal="center"/>
      <protection locked="0"/>
    </xf>
    <xf numFmtId="172" fontId="94" fillId="0" borderId="28" xfId="0" applyNumberFormat="1" applyFont="1" applyBorder="1" applyAlignment="1" applyProtection="1">
      <alignment horizontal="center" wrapText="1"/>
      <protection locked="0"/>
    </xf>
    <xf numFmtId="9" fontId="90" fillId="0" borderId="26" xfId="24" applyFont="1" applyBorder="1" applyAlignment="1" applyProtection="1">
      <alignment horizontal="center" wrapText="1"/>
      <protection locked="0"/>
    </xf>
    <xf numFmtId="0" fontId="93" fillId="0" borderId="16" xfId="0" applyFont="1" applyBorder="1" applyAlignment="1" applyProtection="1">
      <alignment horizontal="center"/>
      <protection locked="0"/>
    </xf>
    <xf numFmtId="0" fontId="93" fillId="0" borderId="0" xfId="0" applyFont="1" applyAlignment="1" applyProtection="1">
      <alignment horizontal="center" vertical="center"/>
      <protection locked="0"/>
    </xf>
    <xf numFmtId="0" fontId="93" fillId="0" borderId="84" xfId="0" applyFont="1" applyBorder="1" applyAlignment="1" applyProtection="1">
      <alignment horizontal="center" vertical="center"/>
      <protection locked="0"/>
    </xf>
    <xf numFmtId="0" fontId="93" fillId="0" borderId="83" xfId="0" applyFont="1" applyBorder="1" applyAlignment="1" applyProtection="1">
      <alignment horizontal="center" vertical="center"/>
      <protection locked="0"/>
    </xf>
    <xf numFmtId="169" fontId="93" fillId="0" borderId="83" xfId="25" applyNumberFormat="1" applyFont="1" applyBorder="1" applyAlignment="1" applyProtection="1">
      <alignment horizontal="center" vertical="center"/>
      <protection locked="0"/>
    </xf>
    <xf numFmtId="168" fontId="93" fillId="0" borderId="82" xfId="25" applyNumberFormat="1" applyFont="1" applyBorder="1" applyAlignment="1" applyProtection="1">
      <alignment horizontal="center" vertical="center"/>
      <protection locked="0"/>
    </xf>
    <xf numFmtId="2" fontId="94" fillId="0" borderId="28" xfId="0" applyNumberFormat="1" applyFont="1" applyBorder="1" applyAlignment="1" applyProtection="1">
      <alignment horizontal="center"/>
      <protection locked="0"/>
    </xf>
    <xf numFmtId="0" fontId="90" fillId="0" borderId="28" xfId="0" applyFont="1" applyBorder="1" applyAlignment="1" applyProtection="1">
      <alignment horizontal="center"/>
      <protection locked="0"/>
    </xf>
    <xf numFmtId="0" fontId="89" fillId="0" borderId="0" xfId="0" applyFont="1" applyAlignment="1" applyProtection="1">
      <alignment horizontal="center" vertical="center"/>
      <protection locked="0"/>
    </xf>
    <xf numFmtId="0" fontId="90" fillId="0" borderId="0" xfId="0" applyFont="1" applyAlignment="1" applyProtection="1">
      <alignment horizontal="center" vertical="center"/>
      <protection locked="0"/>
    </xf>
    <xf numFmtId="1" fontId="90" fillId="0" borderId="14" xfId="0" applyNumberFormat="1" applyFont="1" applyBorder="1" applyAlignment="1" applyProtection="1">
      <alignment horizontal="center" vertical="center"/>
      <protection locked="0"/>
    </xf>
    <xf numFmtId="0" fontId="90" fillId="0" borderId="14" xfId="0" applyFont="1" applyBorder="1" applyAlignment="1" applyProtection="1">
      <alignment horizontal="center" vertical="center"/>
      <protection locked="0"/>
    </xf>
    <xf numFmtId="9" fontId="90" fillId="0" borderId="13" xfId="24" applyFont="1" applyBorder="1" applyAlignment="1" applyProtection="1">
      <alignment horizontal="center" vertical="center"/>
      <protection locked="0"/>
    </xf>
    <xf numFmtId="0" fontId="92" fillId="0" borderId="16" xfId="0" applyFont="1" applyBorder="1" applyAlignment="1" applyProtection="1">
      <alignment horizontal="center" vertical="center"/>
      <protection locked="0"/>
    </xf>
    <xf numFmtId="1" fontId="93" fillId="0" borderId="0" xfId="0" applyNumberFormat="1" applyFont="1" applyAlignment="1">
      <alignment horizontal="center" vertical="center" textRotation="90"/>
    </xf>
    <xf numFmtId="0" fontId="93" fillId="0" borderId="0" xfId="0" applyFont="1" applyAlignment="1">
      <alignment horizontal="center" vertical="center" textRotation="90"/>
    </xf>
    <xf numFmtId="0" fontId="93" fillId="0" borderId="0" xfId="0" applyFont="1" applyAlignment="1" applyProtection="1">
      <alignment vertical="center"/>
      <protection locked="0"/>
    </xf>
    <xf numFmtId="0" fontId="91" fillId="0" borderId="0" xfId="0" applyFont="1" applyAlignment="1" applyProtection="1">
      <alignment horizontal="center" vertical="center"/>
      <protection locked="0"/>
    </xf>
    <xf numFmtId="0" fontId="91" fillId="0" borderId="14" xfId="0" applyFont="1" applyBorder="1" applyAlignment="1" applyProtection="1">
      <alignment horizontal="center" vertical="center"/>
      <protection locked="0"/>
    </xf>
    <xf numFmtId="173" fontId="47" fillId="36" borderId="28" xfId="0" applyNumberFormat="1" applyFont="1" applyFill="1" applyBorder="1" applyAlignment="1">
      <alignment horizontal="left"/>
    </xf>
    <xf numFmtId="170" fontId="45" fillId="34" borderId="0" xfId="0" applyNumberFormat="1" applyFont="1" applyFill="1" applyAlignment="1">
      <alignment vertical="center"/>
    </xf>
    <xf numFmtId="4" fontId="96" fillId="18" borderId="5" xfId="0" applyNumberFormat="1" applyFont="1" applyFill="1" applyBorder="1" applyAlignment="1">
      <alignment horizontal="center"/>
    </xf>
    <xf numFmtId="173" fontId="97" fillId="0" borderId="0" xfId="0" applyNumberFormat="1" applyFont="1" applyAlignment="1">
      <alignment horizontal="center" vertical="center" wrapText="1"/>
    </xf>
    <xf numFmtId="14" fontId="97" fillId="0" borderId="0" xfId="0" applyNumberFormat="1" applyFont="1" applyAlignment="1">
      <alignment horizontal="center" vertical="center" wrapText="1"/>
    </xf>
    <xf numFmtId="0" fontId="47" fillId="37" borderId="30" xfId="0" applyFont="1" applyFill="1" applyBorder="1" applyAlignment="1">
      <alignment horizontal="left"/>
    </xf>
    <xf numFmtId="0" fontId="47" fillId="38" borderId="6" xfId="0" applyFont="1" applyFill="1" applyBorder="1" applyAlignment="1">
      <alignment horizontal="left"/>
    </xf>
    <xf numFmtId="0" fontId="47" fillId="38" borderId="6" xfId="0" applyFont="1" applyFill="1" applyBorder="1" applyAlignment="1">
      <alignment horizontal="center"/>
    </xf>
    <xf numFmtId="0" fontId="47" fillId="38" borderId="6" xfId="0" applyFont="1" applyFill="1" applyBorder="1" applyAlignment="1">
      <alignment horizontal="left" indent="1"/>
    </xf>
    <xf numFmtId="1" fontId="47" fillId="38" borderId="30" xfId="0" applyNumberFormat="1" applyFont="1" applyFill="1" applyBorder="1" applyAlignment="1">
      <alignment horizontal="center"/>
    </xf>
    <xf numFmtId="171" fontId="47" fillId="38" borderId="6" xfId="0" applyNumberFormat="1" applyFont="1" applyFill="1" applyBorder="1" applyAlignment="1">
      <alignment horizontal="center"/>
    </xf>
    <xf numFmtId="2" fontId="47" fillId="38" borderId="30" xfId="0" applyNumberFormat="1" applyFont="1" applyFill="1" applyBorder="1" applyAlignment="1">
      <alignment horizontal="center"/>
    </xf>
    <xf numFmtId="0" fontId="44" fillId="38" borderId="30" xfId="0" applyFont="1" applyFill="1" applyBorder="1" applyAlignment="1">
      <alignment horizontal="center"/>
    </xf>
    <xf numFmtId="0" fontId="47" fillId="38" borderId="30" xfId="0" applyFont="1" applyFill="1" applyBorder="1" applyAlignment="1">
      <alignment horizontal="center"/>
    </xf>
    <xf numFmtId="1" fontId="47" fillId="37" borderId="30" xfId="0" applyNumberFormat="1" applyFont="1" applyFill="1" applyBorder="1" applyAlignment="1">
      <alignment horizontal="center"/>
    </xf>
    <xf numFmtId="4" fontId="47" fillId="37" borderId="6" xfId="0" applyNumberFormat="1" applyFont="1" applyFill="1" applyBorder="1" applyAlignment="1">
      <alignment horizontal="center"/>
    </xf>
    <xf numFmtId="3" fontId="47" fillId="37" borderId="6" xfId="0" applyNumberFormat="1" applyFont="1" applyFill="1" applyBorder="1" applyAlignment="1">
      <alignment horizontal="center"/>
    </xf>
    <xf numFmtId="0" fontId="47" fillId="39" borderId="27" xfId="0" applyFont="1" applyFill="1" applyBorder="1" applyAlignment="1">
      <alignment horizontal="left"/>
    </xf>
    <xf numFmtId="0" fontId="47" fillId="40" borderId="28" xfId="0" applyFont="1" applyFill="1" applyBorder="1" applyAlignment="1">
      <alignment horizontal="left"/>
    </xf>
    <xf numFmtId="0" fontId="47" fillId="40" borderId="28" xfId="0" applyFont="1" applyFill="1" applyBorder="1" applyAlignment="1">
      <alignment horizontal="center"/>
    </xf>
    <xf numFmtId="0" fontId="47" fillId="40" borderId="28" xfId="0" applyFont="1" applyFill="1" applyBorder="1" applyAlignment="1">
      <alignment horizontal="left" indent="1"/>
    </xf>
    <xf numFmtId="1" fontId="47" fillId="40" borderId="27" xfId="0" applyNumberFormat="1" applyFont="1" applyFill="1" applyBorder="1" applyAlignment="1">
      <alignment horizontal="center"/>
    </xf>
    <xf numFmtId="171" fontId="47" fillId="40" borderId="28" xfId="0" applyNumberFormat="1" applyFont="1" applyFill="1" applyBorder="1" applyAlignment="1">
      <alignment horizontal="center"/>
    </xf>
    <xf numFmtId="2" fontId="47" fillId="40" borderId="27" xfId="0" applyNumberFormat="1" applyFont="1" applyFill="1" applyBorder="1" applyAlignment="1">
      <alignment horizontal="center"/>
    </xf>
    <xf numFmtId="0" fontId="44" fillId="40" borderId="27" xfId="0" applyFont="1" applyFill="1" applyBorder="1" applyAlignment="1">
      <alignment horizontal="center"/>
    </xf>
    <xf numFmtId="0" fontId="47" fillId="40" borderId="27" xfId="0" applyFont="1" applyFill="1" applyBorder="1" applyAlignment="1">
      <alignment horizontal="center"/>
    </xf>
    <xf numFmtId="1" fontId="47" fillId="39" borderId="27" xfId="0" applyNumberFormat="1" applyFont="1" applyFill="1" applyBorder="1" applyAlignment="1">
      <alignment horizontal="center"/>
    </xf>
    <xf numFmtId="4" fontId="47" fillId="39" borderId="28" xfId="0" applyNumberFormat="1" applyFont="1" applyFill="1" applyBorder="1" applyAlignment="1">
      <alignment horizontal="center"/>
    </xf>
    <xf numFmtId="3" fontId="47" fillId="39" borderId="28" xfId="0" applyNumberFormat="1" applyFont="1" applyFill="1" applyBorder="1" applyAlignment="1">
      <alignment horizontal="center"/>
    </xf>
    <xf numFmtId="168" fontId="44" fillId="32" borderId="30" xfId="0" applyNumberFormat="1" applyFont="1" applyFill="1" applyBorder="1" applyAlignment="1">
      <alignment horizontal="center" vertical="center" wrapText="1"/>
    </xf>
    <xf numFmtId="0" fontId="47" fillId="40" borderId="28" xfId="0" quotePrefix="1" applyFont="1" applyFill="1" applyBorder="1" applyAlignment="1">
      <alignment horizontal="left"/>
    </xf>
    <xf numFmtId="173" fontId="47" fillId="40" borderId="28" xfId="0" applyNumberFormat="1" applyFont="1" applyFill="1" applyBorder="1" applyAlignment="1">
      <alignment horizontal="left"/>
    </xf>
    <xf numFmtId="173" fontId="47" fillId="38" borderId="6" xfId="0" applyNumberFormat="1" applyFont="1" applyFill="1" applyBorder="1" applyAlignment="1">
      <alignment horizontal="left"/>
    </xf>
    <xf numFmtId="0" fontId="47" fillId="41" borderId="30" xfId="0" applyFont="1" applyFill="1" applyBorder="1" applyAlignment="1">
      <alignment horizontal="left"/>
    </xf>
    <xf numFmtId="0" fontId="47" fillId="42" borderId="6" xfId="0" applyFont="1" applyFill="1" applyBorder="1" applyAlignment="1">
      <alignment horizontal="left"/>
    </xf>
    <xf numFmtId="0" fontId="47" fillId="42" borderId="6" xfId="0" applyFont="1" applyFill="1" applyBorder="1" applyAlignment="1">
      <alignment horizontal="center"/>
    </xf>
    <xf numFmtId="0" fontId="44" fillId="42" borderId="6" xfId="0" applyFont="1" applyFill="1" applyBorder="1" applyAlignment="1">
      <alignment horizontal="left" indent="2"/>
    </xf>
    <xf numFmtId="1" fontId="47" fillId="42" borderId="30" xfId="0" applyNumberFormat="1" applyFont="1" applyFill="1" applyBorder="1" applyAlignment="1">
      <alignment horizontal="center"/>
    </xf>
    <xf numFmtId="171" fontId="47" fillId="42" borderId="6" xfId="0" applyNumberFormat="1" applyFont="1" applyFill="1" applyBorder="1" applyAlignment="1">
      <alignment horizontal="center"/>
    </xf>
    <xf numFmtId="2" fontId="47" fillId="42" borderId="30" xfId="0" applyNumberFormat="1" applyFont="1" applyFill="1" applyBorder="1" applyAlignment="1">
      <alignment horizontal="center"/>
    </xf>
    <xf numFmtId="0" fontId="44" fillId="42" borderId="30" xfId="0" applyFont="1" applyFill="1" applyBorder="1" applyAlignment="1">
      <alignment horizontal="center"/>
    </xf>
    <xf numFmtId="0" fontId="47" fillId="42" borderId="30" xfId="0" applyFont="1" applyFill="1" applyBorder="1" applyAlignment="1">
      <alignment horizontal="center"/>
    </xf>
    <xf numFmtId="1" fontId="47" fillId="41" borderId="30" xfId="0" applyNumberFormat="1" applyFont="1" applyFill="1" applyBorder="1" applyAlignment="1">
      <alignment horizontal="center"/>
    </xf>
    <xf numFmtId="4" fontId="47" fillId="41" borderId="6" xfId="0" applyNumberFormat="1" applyFont="1" applyFill="1" applyBorder="1" applyAlignment="1">
      <alignment horizontal="center"/>
    </xf>
    <xf numFmtId="3" fontId="47" fillId="41" borderId="6" xfId="0" applyNumberFormat="1" applyFont="1" applyFill="1" applyBorder="1" applyAlignment="1">
      <alignment horizontal="center"/>
    </xf>
    <xf numFmtId="173" fontId="47" fillId="42" borderId="6" xfId="0" applyNumberFormat="1" applyFont="1" applyFill="1" applyBorder="1" applyAlignment="1">
      <alignment horizontal="left"/>
    </xf>
    <xf numFmtId="0" fontId="47" fillId="31" borderId="30" xfId="0" applyFont="1" applyFill="1" applyBorder="1" applyAlignment="1">
      <alignment horizontal="left"/>
    </xf>
    <xf numFmtId="168" fontId="51" fillId="0" borderId="0" xfId="24" applyNumberFormat="1" applyFont="1" applyAlignment="1"/>
    <xf numFmtId="168" fontId="49" fillId="0" borderId="0" xfId="0" applyNumberFormat="1" applyFont="1" applyAlignment="1">
      <alignment horizontal="center" vertical="center"/>
    </xf>
    <xf numFmtId="168" fontId="45" fillId="0" borderId="28" xfId="24" applyNumberFormat="1" applyFont="1" applyFill="1" applyBorder="1" applyAlignment="1">
      <alignment horizontal="center" vertical="center"/>
    </xf>
    <xf numFmtId="168" fontId="44" fillId="14" borderId="6" xfId="24" applyNumberFormat="1" applyFont="1" applyFill="1" applyBorder="1" applyAlignment="1">
      <alignment horizontal="center" vertical="center"/>
    </xf>
    <xf numFmtId="168" fontId="44" fillId="0" borderId="0" xfId="24" applyNumberFormat="1" applyFont="1" applyAlignment="1"/>
    <xf numFmtId="9" fontId="86" fillId="32" borderId="6" xfId="24" applyFont="1" applyFill="1" applyBorder="1" applyAlignment="1">
      <alignment horizontal="center" vertical="center"/>
    </xf>
    <xf numFmtId="181" fontId="86" fillId="0" borderId="0" xfId="0" applyNumberFormat="1" applyFont="1" applyAlignment="1">
      <alignment horizontal="center" vertical="center" wrapText="1"/>
    </xf>
    <xf numFmtId="0" fontId="86" fillId="0" borderId="0" xfId="0" applyFont="1" applyAlignment="1">
      <alignment horizontal="center" vertical="center" wrapText="1"/>
    </xf>
    <xf numFmtId="0" fontId="86" fillId="0" borderId="0" xfId="0" applyFont="1" applyAlignment="1" applyProtection="1">
      <alignment horizontal="center" vertical="center" wrapText="1"/>
      <protection locked="0"/>
    </xf>
    <xf numFmtId="168" fontId="44" fillId="0" borderId="23" xfId="0" applyNumberFormat="1" applyFont="1" applyBorder="1" applyAlignment="1">
      <alignment horizontal="center" vertical="center"/>
    </xf>
    <xf numFmtId="0" fontId="90" fillId="0" borderId="43" xfId="0" applyFont="1" applyBorder="1" applyAlignment="1" applyProtection="1">
      <alignment horizontal="center" wrapText="1"/>
      <protection locked="0"/>
    </xf>
    <xf numFmtId="0" fontId="98" fillId="0" borderId="0" xfId="0" applyFont="1" applyAlignment="1">
      <alignment horizontal="center" vertical="center" wrapText="1"/>
    </xf>
    <xf numFmtId="0" fontId="99" fillId="0" borderId="45" xfId="0" applyFont="1" applyBorder="1" applyAlignment="1" applyProtection="1">
      <alignment horizontal="center" wrapText="1"/>
      <protection locked="0"/>
    </xf>
    <xf numFmtId="0" fontId="100" fillId="0" borderId="0" xfId="0" applyFont="1" applyAlignment="1">
      <alignment horizontal="center" vertical="center" wrapText="1"/>
    </xf>
    <xf numFmtId="0" fontId="101" fillId="0" borderId="0" xfId="0" applyFont="1" applyAlignment="1">
      <alignment horizontal="center" vertical="center" wrapText="1"/>
    </xf>
    <xf numFmtId="2" fontId="86" fillId="32" borderId="6" xfId="24" applyNumberFormat="1" applyFont="1" applyFill="1" applyBorder="1" applyAlignment="1">
      <alignment horizontal="center" vertical="center"/>
    </xf>
    <xf numFmtId="0" fontId="101" fillId="0" borderId="0" xfId="0" applyFont="1" applyAlignment="1">
      <alignment vertical="center" wrapText="1"/>
    </xf>
    <xf numFmtId="176" fontId="45" fillId="18" borderId="92" xfId="0" applyNumberFormat="1" applyFont="1" applyFill="1" applyBorder="1" applyAlignment="1">
      <alignment horizontal="center" vertical="center"/>
    </xf>
    <xf numFmtId="176" fontId="44" fillId="0" borderId="0" xfId="0" applyNumberFormat="1" applyFont="1" applyAlignment="1">
      <alignment horizontal="center"/>
    </xf>
    <xf numFmtId="176" fontId="44" fillId="0" borderId="29" xfId="0" applyNumberFormat="1" applyFont="1" applyBorder="1" applyAlignment="1">
      <alignment horizontal="center"/>
    </xf>
    <xf numFmtId="176" fontId="44" fillId="0" borderId="16" xfId="0" applyNumberFormat="1" applyFont="1" applyBorder="1" applyAlignment="1">
      <alignment horizontal="center"/>
    </xf>
    <xf numFmtId="176" fontId="44" fillId="0" borderId="28" xfId="0" applyNumberFormat="1" applyFont="1" applyBorder="1" applyAlignment="1">
      <alignment horizontal="center"/>
    </xf>
    <xf numFmtId="176" fontId="45" fillId="18" borderId="0" xfId="0" applyNumberFormat="1" applyFont="1" applyFill="1" applyAlignment="1">
      <alignment horizontal="center" vertical="center"/>
    </xf>
    <xf numFmtId="185" fontId="44" fillId="0" borderId="6" xfId="0" applyNumberFormat="1" applyFont="1" applyBorder="1" applyAlignment="1">
      <alignment horizontal="center"/>
    </xf>
    <xf numFmtId="0" fontId="47" fillId="43" borderId="27" xfId="0" applyFont="1" applyFill="1" applyBorder="1" applyAlignment="1">
      <alignment horizontal="left"/>
    </xf>
    <xf numFmtId="0" fontId="47" fillId="36" borderId="28" xfId="0" quotePrefix="1" applyFont="1" applyFill="1" applyBorder="1" applyAlignment="1">
      <alignment horizontal="left"/>
    </xf>
    <xf numFmtId="0" fontId="47" fillId="36" borderId="28" xfId="0" applyFont="1" applyFill="1" applyBorder="1" applyAlignment="1">
      <alignment horizontal="center"/>
    </xf>
    <xf numFmtId="0" fontId="47" fillId="36" borderId="28" xfId="0" applyFont="1" applyFill="1" applyBorder="1" applyAlignment="1">
      <alignment horizontal="left"/>
    </xf>
    <xf numFmtId="1" fontId="47" fillId="36" borderId="27" xfId="0" applyNumberFormat="1" applyFont="1" applyFill="1" applyBorder="1" applyAlignment="1">
      <alignment horizontal="center"/>
    </xf>
    <xf numFmtId="171" fontId="47" fillId="36" borderId="28" xfId="0" applyNumberFormat="1" applyFont="1" applyFill="1" applyBorder="1" applyAlignment="1">
      <alignment horizontal="center"/>
    </xf>
    <xf numFmtId="2" fontId="47" fillId="36" borderId="27" xfId="0" applyNumberFormat="1" applyFont="1" applyFill="1" applyBorder="1" applyAlignment="1">
      <alignment horizontal="center"/>
    </xf>
    <xf numFmtId="0" fontId="44" fillId="36" borderId="27" xfId="0" applyFont="1" applyFill="1" applyBorder="1" applyAlignment="1">
      <alignment horizontal="center"/>
    </xf>
    <xf numFmtId="1" fontId="47" fillId="43" borderId="27" xfId="0" applyNumberFormat="1" applyFont="1" applyFill="1" applyBorder="1" applyAlignment="1">
      <alignment horizontal="center"/>
    </xf>
    <xf numFmtId="4" fontId="47" fillId="43" borderId="28" xfId="0" applyNumberFormat="1" applyFont="1" applyFill="1" applyBorder="1" applyAlignment="1">
      <alignment horizontal="center"/>
    </xf>
    <xf numFmtId="3" fontId="47" fillId="43" borderId="28" xfId="0" applyNumberFormat="1" applyFont="1" applyFill="1" applyBorder="1" applyAlignment="1">
      <alignment horizontal="center"/>
    </xf>
    <xf numFmtId="0" fontId="47" fillId="36" borderId="27" xfId="0" quotePrefix="1" applyFont="1" applyFill="1" applyBorder="1" applyAlignment="1">
      <alignment horizontal="center"/>
    </xf>
    <xf numFmtId="185" fontId="44" fillId="32" borderId="6" xfId="0" applyNumberFormat="1" applyFont="1" applyFill="1" applyBorder="1" applyAlignment="1">
      <alignment horizontal="center"/>
    </xf>
    <xf numFmtId="185" fontId="86" fillId="0" borderId="6" xfId="0" applyNumberFormat="1" applyFont="1" applyBorder="1" applyAlignment="1">
      <alignment horizontal="center"/>
    </xf>
    <xf numFmtId="185" fontId="44" fillId="33" borderId="6" xfId="0" applyNumberFormat="1" applyFont="1" applyFill="1" applyBorder="1" applyAlignment="1">
      <alignment horizontal="center"/>
    </xf>
    <xf numFmtId="185" fontId="51" fillId="18" borderId="6" xfId="0" applyNumberFormat="1" applyFont="1" applyFill="1" applyBorder="1" applyAlignment="1">
      <alignment horizontal="center"/>
    </xf>
    <xf numFmtId="4" fontId="96" fillId="18" borderId="30" xfId="0" applyNumberFormat="1" applyFont="1" applyFill="1" applyBorder="1" applyAlignment="1">
      <alignment horizontal="center"/>
    </xf>
    <xf numFmtId="2" fontId="86" fillId="18" borderId="86" xfId="0" applyNumberFormat="1" applyFont="1" applyFill="1" applyBorder="1" applyAlignment="1">
      <alignment horizontal="center" wrapText="1"/>
    </xf>
    <xf numFmtId="2" fontId="86" fillId="18" borderId="0" xfId="0" applyNumberFormat="1" applyFont="1" applyFill="1" applyAlignment="1">
      <alignment horizontal="center" vertical="center"/>
    </xf>
    <xf numFmtId="2" fontId="102" fillId="18" borderId="0" xfId="0" applyNumberFormat="1" applyFont="1" applyFill="1" applyAlignment="1">
      <alignment horizontal="center" vertical="center"/>
    </xf>
    <xf numFmtId="2" fontId="102" fillId="0" borderId="0" xfId="0" applyNumberFormat="1" applyFont="1" applyAlignment="1">
      <alignment horizontal="center" vertical="center"/>
    </xf>
    <xf numFmtId="2" fontId="86" fillId="0" borderId="0" xfId="0" applyNumberFormat="1" applyFont="1" applyAlignment="1">
      <alignment horizontal="center"/>
    </xf>
    <xf numFmtId="2" fontId="103" fillId="0" borderId="0" xfId="0" applyNumberFormat="1" applyFont="1" applyAlignment="1">
      <alignment horizontal="center" vertical="center"/>
    </xf>
    <xf numFmtId="0" fontId="104" fillId="0" borderId="0" xfId="0" applyFont="1" applyAlignment="1">
      <alignment horizontal="center" vertical="center"/>
    </xf>
    <xf numFmtId="178" fontId="44" fillId="32" borderId="29" xfId="0" applyNumberFormat="1" applyFont="1" applyFill="1" applyBorder="1" applyAlignment="1">
      <alignment horizontal="center" wrapText="1"/>
    </xf>
    <xf numFmtId="178" fontId="44" fillId="32" borderId="16" xfId="0" applyNumberFormat="1" applyFont="1" applyFill="1" applyBorder="1" applyAlignment="1">
      <alignment horizontal="center" wrapText="1"/>
    </xf>
    <xf numFmtId="178" fontId="44" fillId="32" borderId="13" xfId="0" applyNumberFormat="1" applyFont="1" applyFill="1" applyBorder="1" applyAlignment="1">
      <alignment horizontal="center" wrapText="1"/>
    </xf>
    <xf numFmtId="178" fontId="49" fillId="34" borderId="26" xfId="0" applyNumberFormat="1" applyFont="1" applyFill="1" applyBorder="1" applyAlignment="1">
      <alignment horizontal="center" wrapText="1"/>
    </xf>
    <xf numFmtId="178" fontId="51" fillId="33" borderId="13" xfId="0" applyNumberFormat="1" applyFont="1" applyFill="1" applyBorder="1" applyAlignment="1">
      <alignment horizontal="center" wrapText="1"/>
    </xf>
    <xf numFmtId="178" fontId="51" fillId="44" borderId="13" xfId="0" applyNumberFormat="1" applyFont="1" applyFill="1" applyBorder="1" applyAlignment="1">
      <alignment horizontal="center" wrapText="1"/>
    </xf>
    <xf numFmtId="178" fontId="45" fillId="44" borderId="13" xfId="0" applyNumberFormat="1" applyFont="1" applyFill="1" applyBorder="1" applyAlignment="1">
      <alignment horizontal="center" wrapText="1"/>
    </xf>
    <xf numFmtId="178" fontId="51" fillId="45" borderId="16" xfId="0" applyNumberFormat="1" applyFont="1" applyFill="1" applyBorder="1" applyAlignment="1">
      <alignment horizontal="center" wrapText="1"/>
    </xf>
    <xf numFmtId="0" fontId="35" fillId="0" borderId="29" xfId="0" applyFont="1" applyBorder="1" applyAlignment="1">
      <alignment horizontal="center" vertical="center"/>
    </xf>
    <xf numFmtId="0" fontId="0" fillId="0" borderId="0" xfId="0" applyAlignment="1">
      <alignment horizontal="left" indent="1"/>
    </xf>
    <xf numFmtId="170" fontId="102" fillId="32" borderId="5" xfId="0" applyNumberFormat="1" applyFont="1" applyFill="1" applyBorder="1" applyAlignment="1">
      <alignment horizontal="center" vertical="center"/>
    </xf>
    <xf numFmtId="0" fontId="49" fillId="0" borderId="29" xfId="0" applyFont="1" applyBorder="1" applyAlignment="1">
      <alignment horizontal="center" vertical="center"/>
    </xf>
    <xf numFmtId="0" fontId="49" fillId="0" borderId="28" xfId="0" applyFont="1" applyBorder="1" applyAlignment="1">
      <alignment horizontal="center" vertical="center"/>
    </xf>
    <xf numFmtId="0" fontId="50" fillId="0" borderId="29" xfId="0" applyFont="1" applyBorder="1" applyAlignment="1">
      <alignment horizontal="center" vertical="center"/>
    </xf>
    <xf numFmtId="0" fontId="50" fillId="0" borderId="28" xfId="0" applyFont="1" applyBorder="1" applyAlignment="1">
      <alignment horizontal="center" vertical="center"/>
    </xf>
    <xf numFmtId="0" fontId="34" fillId="0" borderId="29" xfId="0" applyFont="1" applyBorder="1" applyAlignment="1">
      <alignment horizontal="center" vertical="center"/>
    </xf>
    <xf numFmtId="0" fontId="34" fillId="0" borderId="28" xfId="0" applyFont="1" applyBorder="1" applyAlignment="1">
      <alignment horizontal="center" vertical="center"/>
    </xf>
    <xf numFmtId="168" fontId="49" fillId="0" borderId="29" xfId="0" applyNumberFormat="1" applyFont="1" applyBorder="1" applyAlignment="1">
      <alignment horizontal="center" vertical="center"/>
    </xf>
    <xf numFmtId="168" fontId="49" fillId="0" borderId="28" xfId="0" applyNumberFormat="1" applyFont="1" applyBorder="1" applyAlignment="1">
      <alignment horizontal="center" vertical="center"/>
    </xf>
    <xf numFmtId="171" fontId="49" fillId="0" borderId="28" xfId="0" applyNumberFormat="1" applyFont="1" applyBorder="1" applyAlignment="1">
      <alignment horizontal="center" vertical="center"/>
    </xf>
    <xf numFmtId="2" fontId="44" fillId="0" borderId="28" xfId="0" applyNumberFormat="1" applyFont="1" applyBorder="1" applyAlignment="1">
      <alignment horizontal="center" vertical="center"/>
    </xf>
    <xf numFmtId="0" fontId="101" fillId="0" borderId="0" xfId="0" applyFont="1" applyAlignment="1">
      <alignment horizontal="left" vertical="center" wrapText="1"/>
    </xf>
    <xf numFmtId="0" fontId="44" fillId="0" borderId="93" xfId="0" applyFont="1" applyBorder="1" applyAlignment="1">
      <alignment horizontal="center" vertical="center" wrapText="1"/>
    </xf>
    <xf numFmtId="0" fontId="86" fillId="0" borderId="93" xfId="0" applyFont="1" applyBorder="1" applyAlignment="1">
      <alignment horizontal="center" vertical="center" wrapText="1"/>
    </xf>
    <xf numFmtId="0" fontId="44" fillId="0" borderId="93" xfId="0" applyFont="1" applyBorder="1" applyAlignment="1">
      <alignment horizontal="left" vertical="center" wrapText="1"/>
    </xf>
    <xf numFmtId="0" fontId="44" fillId="0" borderId="93" xfId="0" applyFont="1" applyBorder="1" applyAlignment="1">
      <alignment vertical="center" wrapText="1"/>
    </xf>
    <xf numFmtId="0" fontId="44" fillId="0" borderId="91" xfId="0" applyFont="1" applyBorder="1" applyAlignment="1">
      <alignment horizontal="center" vertical="center" wrapText="1"/>
    </xf>
    <xf numFmtId="0" fontId="86" fillId="0" borderId="91" xfId="0" applyFont="1" applyBorder="1" applyAlignment="1">
      <alignment horizontal="center" vertical="center" wrapText="1"/>
    </xf>
    <xf numFmtId="0" fontId="44" fillId="0" borderId="91" xfId="0" applyFont="1" applyBorder="1" applyAlignment="1">
      <alignment horizontal="left" vertical="center" wrapText="1"/>
    </xf>
    <xf numFmtId="0" fontId="44" fillId="0" borderId="91" xfId="0" applyFont="1" applyBorder="1" applyAlignment="1">
      <alignment vertical="center" wrapText="1"/>
    </xf>
    <xf numFmtId="0" fontId="15" fillId="0" borderId="0" xfId="0" applyFont="1" applyAlignment="1">
      <alignment horizontal="left" indent="1"/>
    </xf>
    <xf numFmtId="170" fontId="59" fillId="0" borderId="0" xfId="0" applyNumberFormat="1" applyFont="1" applyAlignment="1" applyProtection="1">
      <alignment horizontal="center" vertical="center"/>
      <protection locked="0"/>
    </xf>
    <xf numFmtId="0" fontId="91" fillId="0" borderId="28" xfId="0" applyFont="1" applyBorder="1" applyAlignment="1" applyProtection="1">
      <alignment horizontal="center" vertical="center"/>
      <protection locked="0"/>
    </xf>
    <xf numFmtId="0" fontId="90" fillId="0" borderId="28" xfId="0" applyFont="1" applyBorder="1" applyAlignment="1" applyProtection="1">
      <alignment horizontal="center" vertical="center"/>
      <protection locked="0"/>
    </xf>
    <xf numFmtId="0" fontId="60" fillId="18" borderId="0" xfId="0" applyFont="1" applyFill="1" applyAlignment="1" applyProtection="1">
      <alignment horizontal="left"/>
      <protection locked="0"/>
    </xf>
    <xf numFmtId="0" fontId="60" fillId="0" borderId="0" xfId="0" applyFont="1" applyAlignment="1" applyProtection="1">
      <alignment horizontal="left" vertical="center"/>
      <protection locked="0"/>
    </xf>
    <xf numFmtId="170" fontId="60" fillId="32" borderId="0" xfId="0" applyNumberFormat="1" applyFont="1" applyFill="1" applyAlignment="1" applyProtection="1">
      <alignment horizontal="left" vertical="center"/>
      <protection locked="0"/>
    </xf>
    <xf numFmtId="0" fontId="60" fillId="0" borderId="0" xfId="0" applyFont="1" applyAlignment="1" applyProtection="1">
      <alignment horizontal="left"/>
      <protection locked="0"/>
    </xf>
    <xf numFmtId="0" fontId="91" fillId="0" borderId="14" xfId="0" applyFont="1" applyBorder="1" applyAlignment="1" applyProtection="1">
      <alignment horizontal="center"/>
      <protection locked="0"/>
    </xf>
    <xf numFmtId="0" fontId="91" fillId="0" borderId="1" xfId="0" applyFont="1" applyBorder="1" applyAlignment="1" applyProtection="1">
      <alignment horizontal="center" vertical="center"/>
      <protection locked="0"/>
    </xf>
    <xf numFmtId="0" fontId="90" fillId="0" borderId="1" xfId="0" applyFont="1" applyBorder="1" applyAlignment="1" applyProtection="1">
      <alignment horizontal="center" vertical="center"/>
      <protection locked="0"/>
    </xf>
    <xf numFmtId="170" fontId="44" fillId="32" borderId="94" xfId="0" applyNumberFormat="1" applyFont="1" applyFill="1" applyBorder="1" applyAlignment="1">
      <alignment horizontal="center" vertical="center"/>
    </xf>
    <xf numFmtId="0" fontId="90" fillId="0" borderId="34" xfId="0" applyFont="1" applyBorder="1" applyAlignment="1" applyProtection="1">
      <alignment horizontal="center" vertical="center"/>
      <protection locked="0"/>
    </xf>
    <xf numFmtId="0" fontId="49" fillId="0" borderId="27" xfId="0" applyFont="1" applyBorder="1" applyAlignment="1">
      <alignment horizontal="center" vertical="center"/>
    </xf>
    <xf numFmtId="170" fontId="49" fillId="32" borderId="95" xfId="0" applyNumberFormat="1" applyFont="1" applyFill="1" applyBorder="1" applyAlignment="1">
      <alignment horizontal="center" vertical="center"/>
    </xf>
    <xf numFmtId="170" fontId="84" fillId="34" borderId="0" xfId="0" applyNumberFormat="1" applyFont="1" applyFill="1" applyAlignment="1" applyProtection="1">
      <alignment horizontal="center" vertical="center" wrapText="1"/>
      <protection locked="0"/>
    </xf>
    <xf numFmtId="4" fontId="75" fillId="0" borderId="0" xfId="0" applyNumberFormat="1" applyFont="1" applyAlignment="1" applyProtection="1">
      <alignment horizontal="center"/>
      <protection locked="0"/>
    </xf>
    <xf numFmtId="4" fontId="75" fillId="0" borderId="0" xfId="0" applyNumberFormat="1" applyFont="1"/>
    <xf numFmtId="4" fontId="75" fillId="18" borderId="5" xfId="0" applyNumberFormat="1" applyFont="1" applyFill="1" applyBorder="1" applyAlignment="1">
      <alignment horizontal="center"/>
    </xf>
    <xf numFmtId="4" fontId="105" fillId="0" borderId="28" xfId="0" applyNumberFormat="1" applyFont="1" applyBorder="1" applyAlignment="1" applyProtection="1">
      <alignment horizontal="center" vertical="center"/>
      <protection locked="0"/>
    </xf>
    <xf numFmtId="173" fontId="101" fillId="0" borderId="0" xfId="0" applyNumberFormat="1" applyFont="1" applyAlignment="1">
      <alignment horizontal="center" vertical="center" wrapText="1"/>
    </xf>
    <xf numFmtId="2" fontId="44" fillId="14" borderId="6" xfId="0" quotePrefix="1" applyNumberFormat="1" applyFont="1" applyFill="1" applyBorder="1" applyAlignment="1">
      <alignment horizontal="center" vertical="center"/>
    </xf>
    <xf numFmtId="0" fontId="107" fillId="0" borderId="28" xfId="0" applyFont="1" applyBorder="1" applyAlignment="1">
      <alignment horizontal="center" vertical="center"/>
    </xf>
    <xf numFmtId="0" fontId="95" fillId="0" borderId="16" xfId="0" applyFont="1" applyBorder="1" applyAlignment="1">
      <alignment horizontal="center" vertical="center" wrapText="1"/>
    </xf>
    <xf numFmtId="0" fontId="95" fillId="0" borderId="16" xfId="0" applyFont="1" applyBorder="1" applyAlignment="1">
      <alignment vertical="center" wrapText="1"/>
    </xf>
    <xf numFmtId="0" fontId="91" fillId="0" borderId="16" xfId="0" applyFont="1" applyBorder="1" applyAlignment="1" applyProtection="1">
      <alignment horizontal="center" vertical="center"/>
      <protection locked="0"/>
    </xf>
    <xf numFmtId="0" fontId="49" fillId="0" borderId="6" xfId="0" applyFont="1" applyBorder="1" applyAlignment="1">
      <alignment horizontal="right" indent="1"/>
    </xf>
    <xf numFmtId="0" fontId="49" fillId="0" borderId="6" xfId="0" quotePrefix="1" applyFont="1" applyBorder="1" applyAlignment="1">
      <alignment horizontal="right" indent="1"/>
    </xf>
    <xf numFmtId="0" fontId="44" fillId="0" borderId="33" xfId="0" quotePrefix="1" applyFont="1" applyBorder="1" applyAlignment="1">
      <alignment horizontal="center" vertical="center"/>
    </xf>
    <xf numFmtId="0" fontId="44" fillId="0" borderId="83" xfId="0" applyFont="1" applyBorder="1" applyAlignment="1">
      <alignment horizontal="left" vertical="center"/>
    </xf>
    <xf numFmtId="0" fontId="44" fillId="0" borderId="83" xfId="0" applyFont="1" applyBorder="1" applyAlignment="1">
      <alignment horizontal="center" vertical="center"/>
    </xf>
    <xf numFmtId="14" fontId="101" fillId="0" borderId="0" xfId="0" applyNumberFormat="1" applyFont="1" applyAlignment="1">
      <alignment horizontal="center" vertical="center" wrapText="1"/>
    </xf>
    <xf numFmtId="0" fontId="93" fillId="0" borderId="82" xfId="0" applyFont="1" applyBorder="1" applyAlignment="1" applyProtection="1">
      <alignment horizontal="center" vertical="center"/>
      <protection locked="0"/>
    </xf>
    <xf numFmtId="3" fontId="59" fillId="0" borderId="0" xfId="0" applyNumberFormat="1" applyFont="1" applyAlignment="1" applyProtection="1">
      <alignment horizontal="center" vertical="center"/>
      <protection locked="0"/>
    </xf>
    <xf numFmtId="0" fontId="91" fillId="0" borderId="82" xfId="0" applyFont="1" applyBorder="1" applyAlignment="1" applyProtection="1">
      <alignment horizontal="center"/>
      <protection locked="0"/>
    </xf>
    <xf numFmtId="0" fontId="46" fillId="32" borderId="6" xfId="0" applyFont="1" applyFill="1" applyBorder="1" applyAlignment="1">
      <alignment horizontal="center" vertical="center" wrapText="1"/>
    </xf>
    <xf numFmtId="0" fontId="84" fillId="0" borderId="0" xfId="0" applyFont="1" applyAlignment="1" applyProtection="1">
      <alignment horizontal="center" vertical="center"/>
      <protection locked="0"/>
    </xf>
    <xf numFmtId="0" fontId="62" fillId="0" borderId="16" xfId="0" applyFont="1" applyBorder="1" applyAlignment="1">
      <alignment horizontal="center" vertical="center"/>
    </xf>
    <xf numFmtId="0" fontId="62" fillId="0" borderId="84" xfId="0" applyFont="1" applyBorder="1" applyAlignment="1" applyProtection="1">
      <alignment horizontal="center" vertical="center"/>
      <protection locked="0"/>
    </xf>
    <xf numFmtId="0" fontId="62" fillId="0" borderId="83" xfId="0" applyFont="1" applyBorder="1" applyAlignment="1" applyProtection="1">
      <alignment horizontal="center" vertical="center"/>
      <protection locked="0"/>
    </xf>
    <xf numFmtId="169" fontId="62" fillId="0" borderId="83" xfId="25" applyNumberFormat="1" applyFont="1" applyBorder="1" applyAlignment="1" applyProtection="1">
      <alignment horizontal="center" vertical="center"/>
      <protection locked="0"/>
    </xf>
    <xf numFmtId="166" fontId="62" fillId="0" borderId="84" xfId="25" applyFont="1" applyBorder="1" applyAlignment="1" applyProtection="1">
      <alignment horizontal="center" vertical="center"/>
      <protection locked="0"/>
    </xf>
    <xf numFmtId="168" fontId="62" fillId="0" borderId="83" xfId="25" applyNumberFormat="1" applyFont="1" applyBorder="1" applyAlignment="1" applyProtection="1">
      <alignment horizontal="center" vertical="center"/>
      <protection locked="0"/>
    </xf>
    <xf numFmtId="1" fontId="62" fillId="0" borderId="83" xfId="25" applyNumberFormat="1" applyFont="1" applyBorder="1" applyAlignment="1" applyProtection="1">
      <alignment horizontal="center" vertical="center"/>
      <protection locked="0"/>
    </xf>
    <xf numFmtId="2" fontId="84" fillId="0" borderId="0" xfId="0" applyNumberFormat="1" applyFont="1" applyAlignment="1" applyProtection="1">
      <alignment horizontal="center" vertical="center"/>
      <protection locked="0"/>
    </xf>
    <xf numFmtId="0" fontId="62" fillId="0" borderId="0" xfId="0" applyFont="1" applyAlignment="1" applyProtection="1">
      <alignment vertical="center"/>
      <protection locked="0"/>
    </xf>
    <xf numFmtId="4" fontId="44" fillId="14" borderId="6" xfId="0" applyNumberFormat="1" applyFont="1" applyFill="1" applyBorder="1" applyAlignment="1">
      <alignment horizontal="center" vertical="center"/>
    </xf>
    <xf numFmtId="176" fontId="44" fillId="0" borderId="47" xfId="0" applyNumberFormat="1" applyFont="1" applyBorder="1" applyAlignment="1">
      <alignment horizontal="center" vertical="center"/>
    </xf>
    <xf numFmtId="0" fontId="57" fillId="0" borderId="0" xfId="0" quotePrefix="1" applyFont="1" applyAlignment="1">
      <alignment horizontal="center" vertical="center"/>
    </xf>
    <xf numFmtId="185" fontId="86" fillId="18" borderId="6" xfId="0" applyNumberFormat="1" applyFont="1" applyFill="1" applyBorder="1" applyAlignment="1">
      <alignment horizontal="center"/>
    </xf>
    <xf numFmtId="0" fontId="102" fillId="0" borderId="6" xfId="0" quotePrefix="1" applyFont="1" applyBorder="1" applyAlignment="1">
      <alignment horizontal="right" indent="1"/>
    </xf>
    <xf numFmtId="185" fontId="86" fillId="32" borderId="6" xfId="0" applyNumberFormat="1" applyFont="1" applyFill="1" applyBorder="1" applyAlignment="1">
      <alignment horizontal="center"/>
    </xf>
    <xf numFmtId="170" fontId="46" fillId="32" borderId="6" xfId="0" applyNumberFormat="1" applyFont="1" applyFill="1" applyBorder="1" applyAlignment="1">
      <alignment horizontal="center" vertical="center" wrapText="1"/>
    </xf>
    <xf numFmtId="0" fontId="15" fillId="0" borderId="0" xfId="0" applyFont="1"/>
    <xf numFmtId="0" fontId="15" fillId="0" borderId="0" xfId="0" applyFont="1" applyAlignment="1">
      <alignment horizontal="left"/>
    </xf>
    <xf numFmtId="0" fontId="0" fillId="0" borderId="0" xfId="0" quotePrefix="1"/>
    <xf numFmtId="0" fontId="0" fillId="0" borderId="0" xfId="0" quotePrefix="1" applyAlignment="1">
      <alignment horizontal="left"/>
    </xf>
    <xf numFmtId="0" fontId="15" fillId="0" borderId="0" xfId="0" applyFont="1" applyAlignment="1">
      <alignment horizontal="center"/>
    </xf>
    <xf numFmtId="0" fontId="108" fillId="46" borderId="96" xfId="0" applyFont="1" applyFill="1" applyBorder="1"/>
    <xf numFmtId="0" fontId="108" fillId="46" borderId="97" xfId="0" applyFont="1" applyFill="1" applyBorder="1" applyAlignment="1">
      <alignment horizontal="center"/>
    </xf>
    <xf numFmtId="0" fontId="0" fillId="0" borderId="0" xfId="0" applyAlignment="1">
      <alignment horizontal="center" vertical="center"/>
    </xf>
    <xf numFmtId="0" fontId="110" fillId="18" borderId="100" xfId="0" applyFont="1" applyFill="1" applyBorder="1" applyAlignment="1">
      <alignment horizontal="left" vertical="center"/>
    </xf>
    <xf numFmtId="0" fontId="0" fillId="0" borderId="101" xfId="0" applyBorder="1" applyAlignment="1">
      <alignment horizontal="center" vertical="center"/>
    </xf>
    <xf numFmtId="1" fontId="0" fillId="0" borderId="101" xfId="0" applyNumberFormat="1" applyBorder="1" applyAlignment="1">
      <alignment horizontal="center" vertical="center"/>
    </xf>
    <xf numFmtId="0" fontId="110" fillId="18" borderId="102" xfId="0" applyFont="1" applyFill="1" applyBorder="1" applyAlignment="1">
      <alignment horizontal="left" vertical="center"/>
    </xf>
    <xf numFmtId="0" fontId="0" fillId="0" borderId="0" xfId="0" applyAlignment="1">
      <alignment vertical="center"/>
    </xf>
    <xf numFmtId="0" fontId="0" fillId="0" borderId="0" xfId="0" applyAlignment="1">
      <alignment horizontal="left" vertical="center"/>
    </xf>
    <xf numFmtId="0" fontId="110" fillId="18" borderId="104" xfId="0" applyFont="1" applyFill="1" applyBorder="1" applyAlignment="1">
      <alignment horizontal="left" vertical="center"/>
    </xf>
    <xf numFmtId="0" fontId="110" fillId="18" borderId="105" xfId="0" applyFont="1" applyFill="1" applyBorder="1" applyAlignment="1">
      <alignment horizontal="left" vertical="center"/>
    </xf>
    <xf numFmtId="0" fontId="15" fillId="18" borderId="107" xfId="0" applyFont="1" applyFill="1" applyBorder="1" applyAlignment="1">
      <alignment horizontal="center" vertical="top"/>
    </xf>
    <xf numFmtId="0" fontId="15" fillId="18" borderId="55" xfId="0" applyFont="1" applyFill="1" applyBorder="1" applyAlignment="1">
      <alignment horizontal="left" vertical="top"/>
    </xf>
    <xf numFmtId="0" fontId="15" fillId="18" borderId="55" xfId="0" applyFont="1" applyFill="1" applyBorder="1" applyAlignment="1">
      <alignment horizontal="center" vertical="top" wrapText="1"/>
    </xf>
    <xf numFmtId="0" fontId="15" fillId="18" borderId="55" xfId="0" applyFont="1" applyFill="1" applyBorder="1" applyAlignment="1">
      <alignment horizontal="left" vertical="top" wrapText="1"/>
    </xf>
    <xf numFmtId="0" fontId="15" fillId="18" borderId="53" xfId="0" applyFont="1" applyFill="1" applyBorder="1" applyAlignment="1">
      <alignment horizontal="center" vertical="top" wrapText="1"/>
    </xf>
    <xf numFmtId="0" fontId="15" fillId="18" borderId="55" xfId="0" applyFont="1" applyFill="1" applyBorder="1" applyAlignment="1">
      <alignment horizontal="center" vertical="top"/>
    </xf>
    <xf numFmtId="0" fontId="15" fillId="18" borderId="53" xfId="0" applyFont="1" applyFill="1" applyBorder="1" applyAlignment="1">
      <alignment horizontal="center" vertical="top"/>
    </xf>
    <xf numFmtId="0" fontId="0" fillId="0" borderId="0" xfId="0" applyAlignment="1">
      <alignment vertical="top"/>
    </xf>
    <xf numFmtId="0" fontId="0" fillId="47" borderId="108" xfId="0" applyFill="1" applyBorder="1" applyAlignment="1">
      <alignment horizontal="center"/>
    </xf>
    <xf numFmtId="0" fontId="0" fillId="47" borderId="0" xfId="0" applyFill="1" applyAlignment="1">
      <alignment horizontal="center"/>
    </xf>
    <xf numFmtId="168" fontId="0" fillId="0" borderId="0" xfId="0" applyNumberFormat="1" applyAlignment="1">
      <alignment horizontal="center"/>
    </xf>
    <xf numFmtId="0" fontId="0" fillId="47" borderId="109" xfId="0" applyFill="1" applyBorder="1" applyAlignment="1">
      <alignment horizontal="center"/>
    </xf>
    <xf numFmtId="0" fontId="0" fillId="0" borderId="111" xfId="0" applyBorder="1" applyAlignment="1">
      <alignment horizontal="left"/>
    </xf>
    <xf numFmtId="168" fontId="0" fillId="0" borderId="111" xfId="0" applyNumberFormat="1" applyBorder="1" applyAlignment="1">
      <alignment horizontal="center"/>
    </xf>
    <xf numFmtId="0" fontId="0" fillId="0" borderId="102" xfId="0" applyBorder="1" applyAlignment="1">
      <alignment horizontal="center"/>
    </xf>
    <xf numFmtId="0" fontId="0" fillId="0" borderId="91" xfId="0" applyBorder="1" applyAlignment="1">
      <alignment horizontal="left"/>
    </xf>
    <xf numFmtId="0" fontId="0" fillId="0" borderId="91" xfId="0" applyBorder="1" applyAlignment="1">
      <alignment horizontal="center"/>
    </xf>
    <xf numFmtId="0" fontId="0" fillId="0" borderId="113" xfId="0" applyBorder="1" applyAlignment="1">
      <alignment horizontal="center"/>
    </xf>
    <xf numFmtId="2" fontId="0" fillId="32" borderId="101" xfId="0" applyNumberFormat="1" applyFill="1" applyBorder="1" applyAlignment="1">
      <alignment horizontal="center" vertical="center"/>
    </xf>
    <xf numFmtId="0" fontId="0" fillId="32" borderId="101" xfId="0" applyFill="1" applyBorder="1" applyAlignment="1">
      <alignment horizontal="center" vertical="center"/>
    </xf>
    <xf numFmtId="0" fontId="0" fillId="32" borderId="103" xfId="0" applyFill="1" applyBorder="1" applyAlignment="1">
      <alignment horizontal="center" vertical="center"/>
    </xf>
    <xf numFmtId="9" fontId="0" fillId="32" borderId="103" xfId="28" applyFont="1" applyFill="1" applyBorder="1" applyAlignment="1">
      <alignment horizontal="center" vertical="center"/>
    </xf>
    <xf numFmtId="3" fontId="0" fillId="32" borderId="101" xfId="0" applyNumberFormat="1" applyFill="1" applyBorder="1" applyAlignment="1">
      <alignment horizontal="center" vertical="center"/>
    </xf>
    <xf numFmtId="0" fontId="0" fillId="32" borderId="0" xfId="0" applyFill="1" applyAlignment="1">
      <alignment horizontal="center"/>
    </xf>
    <xf numFmtId="0" fontId="0" fillId="32" borderId="111" xfId="0" applyFill="1" applyBorder="1" applyAlignment="1">
      <alignment horizontal="center"/>
    </xf>
    <xf numFmtId="0" fontId="0" fillId="32" borderId="108" xfId="0" applyFill="1" applyBorder="1" applyAlignment="1">
      <alignment horizontal="center"/>
    </xf>
    <xf numFmtId="0" fontId="0" fillId="32" borderId="110" xfId="0" applyFill="1" applyBorder="1" applyAlignment="1">
      <alignment horizontal="center"/>
    </xf>
    <xf numFmtId="168" fontId="0" fillId="32" borderId="0" xfId="0" applyNumberFormat="1" applyFill="1" applyAlignment="1">
      <alignment horizontal="center"/>
    </xf>
    <xf numFmtId="168" fontId="0" fillId="32" borderId="111" xfId="0" applyNumberFormat="1" applyFill="1" applyBorder="1" applyAlignment="1">
      <alignment horizontal="center"/>
    </xf>
    <xf numFmtId="168" fontId="0" fillId="32" borderId="109" xfId="0" applyNumberFormat="1" applyFill="1" applyBorder="1" applyAlignment="1">
      <alignment horizontal="center"/>
    </xf>
    <xf numFmtId="168" fontId="0" fillId="32" borderId="112" xfId="0" applyNumberFormat="1" applyFill="1" applyBorder="1" applyAlignment="1">
      <alignment horizontal="center"/>
    </xf>
    <xf numFmtId="168" fontId="0" fillId="17" borderId="113" xfId="0" applyNumberFormat="1" applyFill="1" applyBorder="1" applyAlignment="1">
      <alignment horizontal="center"/>
    </xf>
    <xf numFmtId="167" fontId="0" fillId="17" borderId="106" xfId="0" applyNumberFormat="1" applyFill="1" applyBorder="1" applyAlignment="1">
      <alignment horizontal="center" vertical="center"/>
    </xf>
    <xf numFmtId="0" fontId="15" fillId="0" borderId="0" xfId="0" applyFont="1" applyAlignment="1">
      <alignment horizontal="center" wrapText="1"/>
    </xf>
    <xf numFmtId="1" fontId="0" fillId="32" borderId="0" xfId="0" applyNumberFormat="1" applyFill="1" applyAlignment="1">
      <alignment horizontal="center"/>
    </xf>
    <xf numFmtId="1" fontId="0" fillId="32" borderId="111" xfId="0" applyNumberFormat="1" applyFill="1" applyBorder="1" applyAlignment="1">
      <alignment horizontal="center"/>
    </xf>
    <xf numFmtId="1" fontId="0" fillId="0" borderId="0" xfId="0" applyNumberFormat="1" applyAlignment="1">
      <alignment horizontal="center"/>
    </xf>
    <xf numFmtId="1" fontId="0" fillId="0" borderId="111" xfId="0" applyNumberFormat="1" applyBorder="1" applyAlignment="1">
      <alignment horizontal="center"/>
    </xf>
    <xf numFmtId="173" fontId="111" fillId="0" borderId="0" xfId="0" applyNumberFormat="1" applyFont="1" applyAlignment="1">
      <alignment horizontal="center" vertical="center" wrapText="1"/>
    </xf>
    <xf numFmtId="0" fontId="111" fillId="0" borderId="0" xfId="0" applyFont="1" applyAlignment="1">
      <alignment horizontal="center" vertical="center" wrapText="1"/>
    </xf>
    <xf numFmtId="14" fontId="111" fillId="0" borderId="0" xfId="0" applyNumberFormat="1" applyFont="1" applyAlignment="1">
      <alignment horizontal="center" vertical="center" wrapText="1"/>
    </xf>
    <xf numFmtId="0" fontId="111" fillId="0" borderId="0" xfId="0" applyFont="1" applyAlignment="1">
      <alignment horizontal="left" vertical="center" wrapText="1" indent="1"/>
    </xf>
    <xf numFmtId="0" fontId="104" fillId="32" borderId="6" xfId="0" applyFont="1" applyFill="1" applyBorder="1" applyAlignment="1">
      <alignment horizontal="center" vertical="center"/>
    </xf>
    <xf numFmtId="0" fontId="74" fillId="32" borderId="22" xfId="0" applyFont="1" applyFill="1" applyBorder="1" applyAlignment="1">
      <alignment horizontal="left" vertical="center" indent="1"/>
    </xf>
    <xf numFmtId="0" fontId="111" fillId="0" borderId="0" xfId="0" applyFont="1" applyAlignment="1">
      <alignment horizontal="center" vertical="center"/>
    </xf>
    <xf numFmtId="171" fontId="46" fillId="32" borderId="6" xfId="0" applyNumberFormat="1" applyFont="1" applyFill="1" applyBorder="1" applyAlignment="1">
      <alignment horizontal="center" vertical="center" wrapText="1"/>
    </xf>
    <xf numFmtId="0" fontId="86" fillId="0" borderId="13" xfId="0" applyFont="1" applyBorder="1" applyAlignment="1">
      <alignment horizontal="center" vertical="center"/>
    </xf>
    <xf numFmtId="0" fontId="86" fillId="0" borderId="0" xfId="0" applyFont="1" applyAlignment="1">
      <alignment horizontal="center" vertical="center"/>
    </xf>
    <xf numFmtId="0" fontId="86" fillId="0" borderId="14" xfId="0" applyFont="1" applyBorder="1" applyAlignment="1">
      <alignment horizontal="center" vertical="center"/>
    </xf>
    <xf numFmtId="0" fontId="112" fillId="0" borderId="16" xfId="0" applyFont="1" applyBorder="1" applyAlignment="1">
      <alignment horizontal="center"/>
    </xf>
    <xf numFmtId="0" fontId="113" fillId="18" borderId="16" xfId="0" applyFont="1" applyFill="1" applyBorder="1"/>
    <xf numFmtId="178" fontId="113" fillId="18" borderId="16" xfId="0" applyNumberFormat="1" applyFont="1" applyFill="1" applyBorder="1" applyAlignment="1">
      <alignment horizontal="center" wrapText="1"/>
    </xf>
    <xf numFmtId="0" fontId="112" fillId="18" borderId="16" xfId="0" applyFont="1" applyFill="1" applyBorder="1"/>
    <xf numFmtId="0" fontId="112" fillId="0" borderId="0" xfId="0" applyFont="1" applyAlignment="1">
      <alignment horizontal="center" vertical="center"/>
    </xf>
    <xf numFmtId="0" fontId="112" fillId="0" borderId="0" xfId="0" applyFont="1" applyAlignment="1">
      <alignment horizontal="left" vertical="center"/>
    </xf>
    <xf numFmtId="0" fontId="51" fillId="19" borderId="6" xfId="0" quotePrefix="1" applyFont="1" applyFill="1" applyBorder="1" applyAlignment="1" applyProtection="1">
      <alignment horizontal="left"/>
      <protection locked="0"/>
    </xf>
    <xf numFmtId="14" fontId="0" fillId="0" borderId="0" xfId="0" applyNumberFormat="1"/>
    <xf numFmtId="168" fontId="44" fillId="48" borderId="6" xfId="0" applyNumberFormat="1" applyFont="1" applyFill="1" applyBorder="1" applyAlignment="1">
      <alignment horizontal="center" vertical="center"/>
    </xf>
    <xf numFmtId="0" fontId="44" fillId="48" borderId="6" xfId="0" applyFont="1" applyFill="1" applyBorder="1" applyAlignment="1">
      <alignment horizontal="center" vertical="center"/>
    </xf>
    <xf numFmtId="168" fontId="49" fillId="48" borderId="6" xfId="0" applyNumberFormat="1" applyFont="1" applyFill="1" applyBorder="1" applyAlignment="1">
      <alignment horizontal="center" vertical="center"/>
    </xf>
    <xf numFmtId="1" fontId="44" fillId="49" borderId="6" xfId="0" applyNumberFormat="1" applyFont="1" applyFill="1" applyBorder="1" applyAlignment="1">
      <alignment horizontal="center" vertical="center"/>
    </xf>
    <xf numFmtId="168" fontId="44" fillId="49" borderId="6" xfId="0" applyNumberFormat="1" applyFont="1" applyFill="1" applyBorder="1" applyAlignment="1">
      <alignment horizontal="center" vertical="center"/>
    </xf>
    <xf numFmtId="0" fontId="44" fillId="49" borderId="6" xfId="0" applyFont="1" applyFill="1" applyBorder="1" applyAlignment="1">
      <alignment horizontal="center" vertical="center"/>
    </xf>
    <xf numFmtId="168" fontId="49" fillId="49" borderId="6" xfId="0" applyNumberFormat="1" applyFont="1" applyFill="1" applyBorder="1" applyAlignment="1">
      <alignment horizontal="center" vertical="center"/>
    </xf>
    <xf numFmtId="0" fontId="49" fillId="49" borderId="6" xfId="0" applyFont="1" applyFill="1" applyBorder="1" applyAlignment="1">
      <alignment horizontal="center" vertical="center"/>
    </xf>
    <xf numFmtId="1" fontId="44" fillId="50" borderId="6" xfId="0" applyNumberFormat="1" applyFont="1" applyFill="1" applyBorder="1" applyAlignment="1">
      <alignment horizontal="center" vertical="center"/>
    </xf>
    <xf numFmtId="168" fontId="44" fillId="50" borderId="6" xfId="0" applyNumberFormat="1" applyFont="1" applyFill="1" applyBorder="1" applyAlignment="1">
      <alignment horizontal="center" vertical="center"/>
    </xf>
    <xf numFmtId="0" fontId="44" fillId="50" borderId="6" xfId="0" applyFont="1" applyFill="1" applyBorder="1" applyAlignment="1">
      <alignment horizontal="center" vertical="center"/>
    </xf>
    <xf numFmtId="168" fontId="49" fillId="50" borderId="6" xfId="0" applyNumberFormat="1" applyFont="1" applyFill="1" applyBorder="1" applyAlignment="1">
      <alignment horizontal="center" vertical="center"/>
    </xf>
    <xf numFmtId="168" fontId="49" fillId="51" borderId="6" xfId="0" applyNumberFormat="1" applyFont="1" applyFill="1" applyBorder="1" applyAlignment="1">
      <alignment horizontal="center" vertical="center"/>
    </xf>
    <xf numFmtId="1" fontId="44" fillId="51" borderId="6" xfId="0" applyNumberFormat="1" applyFont="1" applyFill="1" applyBorder="1" applyAlignment="1">
      <alignment horizontal="center" vertical="center"/>
    </xf>
    <xf numFmtId="168" fontId="44" fillId="51" borderId="6" xfId="0" applyNumberFormat="1" applyFont="1" applyFill="1" applyBorder="1" applyAlignment="1">
      <alignment horizontal="center" vertical="center"/>
    </xf>
    <xf numFmtId="1" fontId="44" fillId="52" borderId="6" xfId="0" applyNumberFormat="1" applyFont="1" applyFill="1" applyBorder="1" applyAlignment="1">
      <alignment horizontal="center" vertical="center"/>
    </xf>
    <xf numFmtId="168" fontId="44" fillId="52" borderId="6" xfId="0" applyNumberFormat="1" applyFont="1" applyFill="1" applyBorder="1" applyAlignment="1">
      <alignment horizontal="center" vertical="center"/>
    </xf>
    <xf numFmtId="0" fontId="44" fillId="52" borderId="6" xfId="0" applyFont="1" applyFill="1" applyBorder="1" applyAlignment="1">
      <alignment horizontal="center" vertical="center"/>
    </xf>
    <xf numFmtId="168" fontId="49" fillId="52" borderId="6" xfId="0" applyNumberFormat="1" applyFont="1" applyFill="1" applyBorder="1" applyAlignment="1">
      <alignment horizontal="center" vertical="center"/>
    </xf>
    <xf numFmtId="0" fontId="44" fillId="0" borderId="6" xfId="0" applyFont="1" applyBorder="1"/>
    <xf numFmtId="0" fontId="44" fillId="51" borderId="6" xfId="0" applyFont="1" applyFill="1" applyBorder="1" applyAlignment="1">
      <alignment horizontal="center" vertical="center"/>
    </xf>
    <xf numFmtId="168" fontId="49" fillId="53" borderId="6" xfId="0" applyNumberFormat="1" applyFont="1" applyFill="1" applyBorder="1" applyAlignment="1">
      <alignment horizontal="center" vertical="center"/>
    </xf>
    <xf numFmtId="0" fontId="44" fillId="0" borderId="108" xfId="0" applyFont="1" applyBorder="1"/>
    <xf numFmtId="0" fontId="44" fillId="0" borderId="109" xfId="0" applyFont="1" applyBorder="1"/>
    <xf numFmtId="0" fontId="44" fillId="54" borderId="93" xfId="0" applyFont="1" applyFill="1" applyBorder="1"/>
    <xf numFmtId="0" fontId="44" fillId="54" borderId="115" xfId="0" applyFont="1" applyFill="1" applyBorder="1"/>
    <xf numFmtId="0" fontId="44" fillId="54" borderId="114" xfId="0" applyFont="1" applyFill="1" applyBorder="1" applyAlignment="1">
      <alignment vertical="top"/>
    </xf>
    <xf numFmtId="0" fontId="44" fillId="53" borderId="6" xfId="0" applyFont="1" applyFill="1" applyBorder="1" applyAlignment="1">
      <alignment horizontal="center" textRotation="90" wrapText="1"/>
    </xf>
    <xf numFmtId="173" fontId="115" fillId="0" borderId="0" xfId="0" applyNumberFormat="1" applyFont="1" applyAlignment="1">
      <alignment horizontal="center" vertical="center" wrapText="1"/>
    </xf>
    <xf numFmtId="0" fontId="115" fillId="0" borderId="0" xfId="0" applyFont="1" applyAlignment="1">
      <alignment horizontal="center" vertical="center" wrapText="1"/>
    </xf>
    <xf numFmtId="14" fontId="115" fillId="0" borderId="0" xfId="0" applyNumberFormat="1" applyFont="1" applyAlignment="1">
      <alignment horizontal="center" vertical="center" wrapText="1"/>
    </xf>
    <xf numFmtId="0" fontId="115" fillId="0" borderId="0" xfId="0" applyFont="1" applyAlignment="1">
      <alignment vertical="center" wrapText="1"/>
    </xf>
    <xf numFmtId="0" fontId="115" fillId="0" borderId="0" xfId="0" applyFont="1" applyAlignment="1">
      <alignment horizontal="left" vertical="center" wrapText="1" indent="1"/>
    </xf>
    <xf numFmtId="0" fontId="44" fillId="0" borderId="16" xfId="0" applyFont="1" applyBorder="1" applyAlignment="1">
      <alignment horizontal="center" vertical="center"/>
    </xf>
    <xf numFmtId="2" fontId="118" fillId="0" borderId="16" xfId="0" applyNumberFormat="1" applyFont="1" applyBorder="1" applyAlignment="1" applyProtection="1">
      <alignment horizontal="center" vertical="center"/>
      <protection locked="0"/>
    </xf>
    <xf numFmtId="2" fontId="119" fillId="0" borderId="16" xfId="0" applyNumberFormat="1" applyFont="1" applyBorder="1" applyAlignment="1" applyProtection="1">
      <alignment horizontal="center" vertical="center"/>
      <protection locked="0"/>
    </xf>
    <xf numFmtId="0" fontId="120" fillId="0" borderId="0" xfId="0" applyFont="1" applyAlignment="1">
      <alignment vertical="center" wrapText="1"/>
    </xf>
    <xf numFmtId="0" fontId="121" fillId="0" borderId="0" xfId="0" applyFont="1" applyAlignment="1">
      <alignment vertical="center" wrapText="1"/>
    </xf>
    <xf numFmtId="170" fontId="44" fillId="32" borderId="18" xfId="0" applyNumberFormat="1" applyFont="1" applyFill="1" applyBorder="1" applyAlignment="1">
      <alignment horizontal="center" vertical="center"/>
    </xf>
    <xf numFmtId="173" fontId="121" fillId="0" borderId="0" xfId="0" applyNumberFormat="1" applyFont="1" applyAlignment="1">
      <alignment horizontal="center" vertical="center" wrapText="1"/>
    </xf>
    <xf numFmtId="0" fontId="121" fillId="0" borderId="0" xfId="0" applyFont="1" applyAlignment="1">
      <alignment horizontal="left" vertical="center" wrapText="1" indent="1"/>
    </xf>
    <xf numFmtId="167" fontId="44" fillId="32" borderId="117" xfId="0" applyNumberFormat="1" applyFont="1" applyFill="1" applyBorder="1" applyAlignment="1">
      <alignment horizontal="center" vertical="center"/>
    </xf>
    <xf numFmtId="167" fontId="44" fillId="32" borderId="60" xfId="0" applyNumberFormat="1" applyFont="1" applyFill="1" applyBorder="1" applyAlignment="1">
      <alignment horizontal="center" vertical="center"/>
    </xf>
    <xf numFmtId="167" fontId="44" fillId="32" borderId="118" xfId="0" applyNumberFormat="1" applyFont="1" applyFill="1" applyBorder="1" applyAlignment="1">
      <alignment horizontal="center" vertical="center"/>
    </xf>
    <xf numFmtId="167" fontId="44" fillId="32" borderId="24" xfId="0" applyNumberFormat="1" applyFont="1" applyFill="1" applyBorder="1" applyAlignment="1">
      <alignment horizontal="center" vertical="center"/>
    </xf>
    <xf numFmtId="167" fontId="44" fillId="32" borderId="33" xfId="0" applyNumberFormat="1" applyFont="1" applyFill="1" applyBorder="1" applyAlignment="1">
      <alignment horizontal="center" vertical="center"/>
    </xf>
    <xf numFmtId="167" fontId="51" fillId="18" borderId="5" xfId="0" applyNumberFormat="1" applyFont="1" applyFill="1" applyBorder="1" applyAlignment="1">
      <alignment horizontal="center" vertical="center"/>
    </xf>
    <xf numFmtId="167" fontId="51" fillId="18" borderId="30" xfId="0" applyNumberFormat="1" applyFont="1" applyFill="1" applyBorder="1" applyAlignment="1">
      <alignment horizontal="center" vertical="center"/>
    </xf>
    <xf numFmtId="167" fontId="44" fillId="32" borderId="94" xfId="0" applyNumberFormat="1" applyFont="1" applyFill="1" applyBorder="1" applyAlignment="1">
      <alignment horizontal="center" vertical="center"/>
    </xf>
    <xf numFmtId="14" fontId="121" fillId="0" borderId="0" xfId="0" applyNumberFormat="1" applyFont="1" applyAlignment="1">
      <alignment horizontal="center" vertical="center" wrapText="1"/>
    </xf>
    <xf numFmtId="0" fontId="121" fillId="0" borderId="0" xfId="0" applyFont="1" applyAlignment="1">
      <alignment horizontal="center" vertical="center" wrapText="1"/>
    </xf>
    <xf numFmtId="0" fontId="121" fillId="0" borderId="0" xfId="0" applyFont="1" applyAlignment="1">
      <alignment horizontal="left" vertical="center" wrapText="1"/>
    </xf>
    <xf numFmtId="173" fontId="122" fillId="0" borderId="0" xfId="0" applyNumberFormat="1" applyFont="1" applyAlignment="1">
      <alignment horizontal="center" vertical="center" wrapText="1"/>
    </xf>
    <xf numFmtId="0" fontId="122" fillId="0" borderId="0" xfId="0" applyFont="1" applyAlignment="1">
      <alignment horizontal="left" vertical="center" wrapText="1" indent="1"/>
    </xf>
    <xf numFmtId="0" fontId="123" fillId="0" borderId="0" xfId="0" applyFont="1" applyAlignment="1">
      <alignment horizontal="center" vertical="center"/>
    </xf>
    <xf numFmtId="0" fontId="123" fillId="0" borderId="0" xfId="0" applyFont="1" applyAlignment="1">
      <alignment horizontal="left" vertical="center"/>
    </xf>
    <xf numFmtId="173" fontId="123" fillId="0" borderId="0" xfId="0" applyNumberFormat="1" applyFont="1" applyAlignment="1">
      <alignment horizontal="center" vertical="center" wrapText="1"/>
    </xf>
    <xf numFmtId="0" fontId="123" fillId="0" borderId="0" xfId="0" applyFont="1" applyAlignment="1">
      <alignment horizontal="left" vertical="center" wrapText="1" indent="1"/>
    </xf>
    <xf numFmtId="14" fontId="123" fillId="0" borderId="0" xfId="0" applyNumberFormat="1" applyFont="1" applyAlignment="1">
      <alignment horizontal="center" vertical="center" wrapText="1"/>
    </xf>
    <xf numFmtId="0" fontId="123" fillId="0" borderId="0" xfId="0" applyFont="1" applyAlignment="1">
      <alignment horizontal="center" vertical="center" wrapText="1"/>
    </xf>
    <xf numFmtId="2" fontId="44" fillId="0" borderId="1" xfId="0" applyNumberFormat="1" applyFont="1" applyBorder="1" applyAlignment="1">
      <alignment horizontal="center" vertical="center"/>
    </xf>
    <xf numFmtId="0" fontId="123" fillId="54" borderId="0" xfId="0" applyFont="1" applyFill="1" applyAlignment="1">
      <alignment horizontal="center" vertical="center" wrapText="1"/>
    </xf>
    <xf numFmtId="173" fontId="124" fillId="0" borderId="0" xfId="0" applyNumberFormat="1" applyFont="1" applyAlignment="1">
      <alignment horizontal="center" vertical="center" wrapText="1"/>
    </xf>
    <xf numFmtId="0" fontId="124" fillId="0" borderId="0" xfId="0" applyFont="1" applyAlignment="1">
      <alignment horizontal="center" vertical="center" wrapText="1"/>
    </xf>
    <xf numFmtId="14" fontId="124" fillId="0" borderId="0" xfId="0" applyNumberFormat="1" applyFont="1" applyAlignment="1">
      <alignment horizontal="center" vertical="center" wrapText="1"/>
    </xf>
    <xf numFmtId="0" fontId="124" fillId="0" borderId="0" xfId="0" applyFont="1" applyAlignment="1">
      <alignment horizontal="left" vertical="center" wrapText="1" indent="1"/>
    </xf>
    <xf numFmtId="173" fontId="125" fillId="0" borderId="0" xfId="0" applyNumberFormat="1" applyFont="1" applyAlignment="1">
      <alignment horizontal="center" vertical="center" wrapText="1"/>
    </xf>
    <xf numFmtId="0" fontId="125" fillId="0" borderId="0" xfId="0" applyFont="1" applyAlignment="1">
      <alignment horizontal="left" vertical="center" wrapText="1" indent="1"/>
    </xf>
    <xf numFmtId="14" fontId="125" fillId="0" borderId="0" xfId="0" applyNumberFormat="1" applyFont="1" applyAlignment="1">
      <alignment horizontal="center" vertical="center" wrapText="1"/>
    </xf>
    <xf numFmtId="0" fontId="125" fillId="0" borderId="0" xfId="0" applyFont="1" applyAlignment="1">
      <alignment horizontal="center" vertical="center" wrapText="1"/>
    </xf>
    <xf numFmtId="1" fontId="86" fillId="0" borderId="0" xfId="0" applyNumberFormat="1" applyFont="1" applyAlignment="1">
      <alignment horizontal="center" vertical="center"/>
    </xf>
    <xf numFmtId="1" fontId="46" fillId="0" borderId="0" xfId="0" applyNumberFormat="1" applyFont="1" applyAlignment="1">
      <alignment horizontal="center" vertical="center"/>
    </xf>
    <xf numFmtId="1" fontId="125" fillId="0" borderId="0" xfId="0" applyNumberFormat="1" applyFont="1" applyAlignment="1">
      <alignment vertical="center"/>
    </xf>
    <xf numFmtId="1" fontId="126" fillId="0" borderId="0" xfId="0" applyNumberFormat="1" applyFont="1" applyAlignment="1">
      <alignment horizontal="center" vertical="center"/>
    </xf>
    <xf numFmtId="0" fontId="125" fillId="0" borderId="0" xfId="0" applyFont="1" applyAlignment="1">
      <alignment horizontal="center" vertical="center"/>
    </xf>
    <xf numFmtId="2" fontId="125" fillId="0" borderId="14" xfId="0" applyNumberFormat="1" applyFont="1" applyBorder="1" applyAlignment="1">
      <alignment horizontal="center" vertical="center"/>
    </xf>
    <xf numFmtId="0" fontId="127" fillId="0" borderId="13" xfId="0" applyFont="1" applyBorder="1" applyAlignment="1">
      <alignment horizontal="center" vertical="center"/>
    </xf>
    <xf numFmtId="0" fontId="127" fillId="0" borderId="0" xfId="0" applyFont="1" applyAlignment="1">
      <alignment horizontal="center" vertical="center"/>
    </xf>
    <xf numFmtId="0" fontId="127" fillId="0" borderId="14" xfId="0" applyFont="1" applyBorder="1" applyAlignment="1">
      <alignment horizontal="center" vertical="center"/>
    </xf>
    <xf numFmtId="9" fontId="125" fillId="0" borderId="13" xfId="24" applyFont="1" applyFill="1" applyBorder="1" applyAlignment="1">
      <alignment horizontal="center" vertical="center"/>
    </xf>
    <xf numFmtId="3" fontId="125" fillId="0" borderId="0" xfId="24" applyNumberFormat="1" applyFont="1" applyFill="1" applyAlignment="1">
      <alignment horizontal="center" vertical="center"/>
    </xf>
    <xf numFmtId="3" fontId="125" fillId="0" borderId="0" xfId="0" applyNumberFormat="1" applyFont="1" applyAlignment="1">
      <alignment horizontal="center" vertical="center"/>
    </xf>
    <xf numFmtId="2" fontId="125" fillId="0" borderId="0" xfId="0" applyNumberFormat="1" applyFont="1" applyAlignment="1">
      <alignment horizontal="center" vertical="center"/>
    </xf>
    <xf numFmtId="4" fontId="81" fillId="0" borderId="13" xfId="0" applyNumberFormat="1" applyFont="1" applyBorder="1" applyAlignment="1">
      <alignment vertical="center"/>
    </xf>
    <xf numFmtId="0" fontId="49" fillId="0" borderId="0" xfId="0" applyFont="1" applyAlignment="1">
      <alignment horizontal="left" vertical="center" wrapText="1" indent="1"/>
    </xf>
    <xf numFmtId="0" fontId="44" fillId="0" borderId="119" xfId="0" applyFont="1" applyBorder="1" applyAlignment="1">
      <alignment horizontal="center" vertical="center"/>
    </xf>
    <xf numFmtId="0" fontId="128" fillId="0" borderId="83" xfId="0" applyFont="1" applyBorder="1" applyAlignment="1">
      <alignment horizontal="left" vertical="center"/>
    </xf>
    <xf numFmtId="0" fontId="128" fillId="0" borderId="82" xfId="0" applyFont="1" applyBorder="1" applyAlignment="1">
      <alignment horizontal="left" vertical="center"/>
    </xf>
    <xf numFmtId="0" fontId="128" fillId="0" borderId="83" xfId="0" applyFont="1" applyBorder="1" applyAlignment="1">
      <alignment horizontal="center" vertical="center"/>
    </xf>
    <xf numFmtId="0" fontId="128" fillId="0" borderId="82" xfId="0" applyFont="1" applyBorder="1" applyAlignment="1">
      <alignment horizontal="center" vertical="center"/>
    </xf>
    <xf numFmtId="0" fontId="44" fillId="0" borderId="6" xfId="0" applyFont="1" applyBorder="1" applyAlignment="1" applyProtection="1">
      <alignment horizontal="center" vertical="center" textRotation="90" wrapText="1"/>
      <protection locked="0"/>
    </xf>
    <xf numFmtId="9" fontId="44" fillId="0" borderId="6" xfId="24" applyFont="1" applyFill="1" applyBorder="1" applyAlignment="1" applyProtection="1">
      <alignment horizontal="center" vertical="center"/>
      <protection locked="0"/>
    </xf>
    <xf numFmtId="9" fontId="46" fillId="0" borderId="83" xfId="25" applyNumberFormat="1" applyFont="1" applyBorder="1" applyAlignment="1" applyProtection="1">
      <alignment horizontal="center" vertical="center"/>
      <protection locked="0"/>
    </xf>
    <xf numFmtId="0" fontId="129" fillId="0" borderId="16" xfId="0" applyFont="1" applyBorder="1" applyAlignment="1" applyProtection="1">
      <alignment vertical="center" wrapText="1"/>
      <protection locked="0"/>
    </xf>
    <xf numFmtId="171" fontId="51" fillId="19" borderId="6" xfId="0" applyNumberFormat="1" applyFont="1" applyFill="1" applyBorder="1" applyAlignment="1" applyProtection="1">
      <alignment horizontal="center"/>
      <protection locked="0"/>
    </xf>
    <xf numFmtId="0" fontId="125" fillId="0" borderId="0" xfId="0" applyFont="1" applyAlignment="1">
      <alignment horizontal="left" vertical="center" wrapText="1" indent="2"/>
    </xf>
    <xf numFmtId="169" fontId="62" fillId="0" borderId="0" xfId="0" applyNumberFormat="1" applyFont="1" applyAlignment="1" applyProtection="1">
      <alignment horizontal="center" vertical="center"/>
      <protection locked="0"/>
    </xf>
    <xf numFmtId="168" fontId="62" fillId="0" borderId="0" xfId="0" applyNumberFormat="1" applyFont="1" applyAlignment="1" applyProtection="1">
      <alignment horizontal="center" vertical="center"/>
      <protection locked="0"/>
    </xf>
    <xf numFmtId="1" fontId="47" fillId="36" borderId="6" xfId="0" applyNumberFormat="1" applyFont="1" applyFill="1" applyBorder="1" applyAlignment="1">
      <alignment horizontal="center"/>
    </xf>
    <xf numFmtId="0" fontId="47" fillId="36" borderId="6" xfId="0" quotePrefix="1" applyFont="1" applyFill="1" applyBorder="1" applyAlignment="1">
      <alignment horizontal="left"/>
    </xf>
    <xf numFmtId="0" fontId="130" fillId="0" borderId="0" xfId="65" applyFont="1" applyAlignment="1">
      <alignment horizontal="center" vertical="center"/>
    </xf>
    <xf numFmtId="187" fontId="130" fillId="0" borderId="0" xfId="65" applyNumberFormat="1" applyFont="1" applyAlignment="1">
      <alignment horizontal="center" vertical="center"/>
    </xf>
    <xf numFmtId="2" fontId="130" fillId="0" borderId="0" xfId="65" applyNumberFormat="1" applyFont="1" applyAlignment="1">
      <alignment horizontal="center" vertical="center"/>
    </xf>
    <xf numFmtId="0" fontId="131" fillId="0" borderId="6" xfId="65" applyFont="1" applyBorder="1" applyAlignment="1">
      <alignment horizontal="center" vertical="center"/>
    </xf>
    <xf numFmtId="0" fontId="131" fillId="0" borderId="6" xfId="65" applyFont="1" applyBorder="1" applyAlignment="1">
      <alignment horizontal="left" vertical="center"/>
    </xf>
    <xf numFmtId="0" fontId="131" fillId="0" borderId="22" xfId="65" applyFont="1" applyBorder="1" applyAlignment="1">
      <alignment horizontal="center" vertical="center"/>
    </xf>
    <xf numFmtId="2" fontId="130" fillId="55" borderId="28" xfId="65" applyNumberFormat="1" applyFont="1" applyFill="1" applyBorder="1" applyAlignment="1">
      <alignment vertical="center"/>
    </xf>
    <xf numFmtId="3" fontId="130" fillId="0" borderId="6" xfId="65" applyNumberFormat="1" applyFont="1" applyBorder="1" applyAlignment="1">
      <alignment horizontal="center" vertical="center"/>
    </xf>
    <xf numFmtId="0" fontId="130" fillId="0" borderId="6" xfId="65" applyFont="1" applyBorder="1" applyAlignment="1">
      <alignment horizontal="center" vertical="center"/>
    </xf>
    <xf numFmtId="0" fontId="130" fillId="47" borderId="6" xfId="65" applyFont="1" applyFill="1" applyBorder="1" applyAlignment="1">
      <alignment horizontal="center" vertical="center"/>
    </xf>
    <xf numFmtId="2" fontId="130" fillId="0" borderId="22" xfId="65" applyNumberFormat="1" applyFont="1" applyBorder="1" applyAlignment="1">
      <alignment horizontal="center" vertical="center"/>
    </xf>
    <xf numFmtId="9" fontId="130" fillId="0" borderId="6" xfId="66" applyFont="1" applyFill="1" applyBorder="1" applyAlignment="1">
      <alignment horizontal="center" vertical="center"/>
    </xf>
    <xf numFmtId="0" fontId="130" fillId="0" borderId="0" xfId="65" applyFont="1" applyAlignment="1">
      <alignment horizontal="left" vertical="center"/>
    </xf>
    <xf numFmtId="0" fontId="133" fillId="18" borderId="27" xfId="65" applyFont="1" applyFill="1" applyBorder="1" applyAlignment="1">
      <alignment horizontal="center" vertical="center" wrapText="1"/>
    </xf>
    <xf numFmtId="0" fontId="133" fillId="18" borderId="28" xfId="65" applyFont="1" applyFill="1" applyBorder="1" applyAlignment="1">
      <alignment horizontal="center" vertical="center" wrapText="1"/>
    </xf>
    <xf numFmtId="187" fontId="133" fillId="18" borderId="28" xfId="65" applyNumberFormat="1" applyFont="1" applyFill="1" applyBorder="1" applyAlignment="1">
      <alignment horizontal="center" vertical="center" wrapText="1"/>
    </xf>
    <xf numFmtId="0" fontId="133" fillId="18" borderId="26" xfId="65" applyFont="1" applyFill="1" applyBorder="1" applyAlignment="1">
      <alignment horizontal="center" vertical="center" wrapText="1"/>
    </xf>
    <xf numFmtId="0" fontId="130" fillId="0" borderId="0" xfId="65" applyFont="1" applyAlignment="1">
      <alignment horizontal="center" vertical="center" wrapText="1"/>
    </xf>
    <xf numFmtId="0" fontId="133" fillId="18" borderId="30" xfId="65" applyFont="1" applyFill="1" applyBorder="1" applyAlignment="1">
      <alignment horizontal="center" vertical="center"/>
    </xf>
    <xf numFmtId="0" fontId="130" fillId="0" borderId="6" xfId="65" applyFont="1" applyBorder="1" applyAlignment="1">
      <alignment horizontal="left" vertical="center" indent="1"/>
    </xf>
    <xf numFmtId="0" fontId="130" fillId="0" borderId="6" xfId="65" applyFont="1" applyBorder="1" applyAlignment="1">
      <alignment horizontal="left" vertical="center" wrapText="1" indent="1"/>
    </xf>
    <xf numFmtId="0" fontId="130" fillId="0" borderId="6" xfId="65" applyFont="1" applyBorder="1" applyAlignment="1">
      <alignment horizontal="center" vertical="center" wrapText="1"/>
    </xf>
    <xf numFmtId="3" fontId="130" fillId="0" borderId="6" xfId="65" applyNumberFormat="1" applyFont="1" applyBorder="1" applyAlignment="1">
      <alignment horizontal="left" vertical="center" indent="1"/>
    </xf>
    <xf numFmtId="187" fontId="130" fillId="0" borderId="6" xfId="65" applyNumberFormat="1" applyFont="1" applyBorder="1" applyAlignment="1">
      <alignment horizontal="center" vertical="center"/>
    </xf>
    <xf numFmtId="14" fontId="130" fillId="0" borderId="6" xfId="65" applyNumberFormat="1" applyFont="1" applyBorder="1" applyAlignment="1">
      <alignment horizontal="left" vertical="center" indent="1"/>
    </xf>
    <xf numFmtId="2" fontId="130" fillId="0" borderId="6" xfId="65" applyNumberFormat="1" applyFont="1" applyBorder="1" applyAlignment="1">
      <alignment horizontal="center" vertical="center"/>
    </xf>
    <xf numFmtId="2" fontId="130" fillId="47" borderId="6" xfId="65" applyNumberFormat="1" applyFont="1" applyFill="1" applyBorder="1" applyAlignment="1">
      <alignment horizontal="center" vertical="center"/>
    </xf>
    <xf numFmtId="177" fontId="130" fillId="47" borderId="6" xfId="65" applyNumberFormat="1" applyFont="1" applyFill="1" applyBorder="1" applyAlignment="1">
      <alignment horizontal="center" vertical="center"/>
    </xf>
    <xf numFmtId="177" fontId="130" fillId="47" borderId="6" xfId="65" applyNumberFormat="1" applyFont="1" applyFill="1" applyBorder="1" applyAlignment="1">
      <alignment horizontal="center" vertical="center" wrapText="1"/>
    </xf>
    <xf numFmtId="0" fontId="130" fillId="0" borderId="22" xfId="65" applyFont="1" applyBorder="1" applyAlignment="1">
      <alignment horizontal="left" vertical="center" indent="1"/>
    </xf>
    <xf numFmtId="0" fontId="133" fillId="52" borderId="30" xfId="65" applyFont="1" applyFill="1" applyBorder="1" applyAlignment="1">
      <alignment horizontal="center" vertical="center"/>
    </xf>
    <xf numFmtId="0" fontId="130" fillId="52" borderId="6" xfId="65" applyFont="1" applyFill="1" applyBorder="1" applyAlignment="1">
      <alignment horizontal="left" vertical="center" indent="1"/>
    </xf>
    <xf numFmtId="0" fontId="131" fillId="55" borderId="6" xfId="65" quotePrefix="1" applyFont="1" applyFill="1" applyBorder="1" applyAlignment="1">
      <alignment horizontal="center" vertical="center"/>
    </xf>
    <xf numFmtId="0" fontId="131" fillId="55" borderId="28" xfId="65" applyFont="1" applyFill="1" applyBorder="1" applyAlignment="1">
      <alignment horizontal="center" vertical="center" wrapText="1"/>
    </xf>
    <xf numFmtId="187" fontId="131" fillId="55" borderId="28" xfId="65" applyNumberFormat="1" applyFont="1" applyFill="1" applyBorder="1" applyAlignment="1">
      <alignment horizontal="center" vertical="center" wrapText="1"/>
    </xf>
    <xf numFmtId="2" fontId="131" fillId="55" borderId="28" xfId="65" applyNumberFormat="1" applyFont="1" applyFill="1" applyBorder="1" applyAlignment="1">
      <alignment horizontal="center" vertical="center" wrapText="1"/>
    </xf>
    <xf numFmtId="0" fontId="131" fillId="0" borderId="0" xfId="65" applyFont="1" applyAlignment="1">
      <alignment horizontal="center" vertical="center"/>
    </xf>
    <xf numFmtId="187" fontId="131" fillId="0" borderId="0" xfId="65" applyNumberFormat="1" applyFont="1" applyAlignment="1">
      <alignment horizontal="center" vertical="center"/>
    </xf>
    <xf numFmtId="2" fontId="131" fillId="0" borderId="0" xfId="65" applyNumberFormat="1" applyFont="1" applyAlignment="1">
      <alignment horizontal="center" vertical="center"/>
    </xf>
    <xf numFmtId="171" fontId="131" fillId="0" borderId="0" xfId="65" applyNumberFormat="1" applyFont="1" applyAlignment="1">
      <alignment horizontal="center" vertical="center"/>
    </xf>
    <xf numFmtId="177" fontId="131" fillId="0" borderId="0" xfId="65" applyNumberFormat="1" applyFont="1" applyAlignment="1">
      <alignment horizontal="center" vertical="center"/>
    </xf>
    <xf numFmtId="0" fontId="130" fillId="0" borderId="120" xfId="65" applyFont="1" applyBorder="1" applyAlignment="1">
      <alignment horizontal="left" vertical="center" indent="1"/>
    </xf>
    <xf numFmtId="0" fontId="130" fillId="0" borderId="121" xfId="65" applyFont="1" applyBorder="1" applyAlignment="1">
      <alignment horizontal="left" vertical="center" indent="1"/>
    </xf>
    <xf numFmtId="0" fontId="130" fillId="0" borderId="122" xfId="65" applyFont="1" applyBorder="1" applyAlignment="1">
      <alignment horizontal="left" vertical="center" indent="1"/>
    </xf>
    <xf numFmtId="0" fontId="130" fillId="0" borderId="123" xfId="65" applyFont="1" applyBorder="1" applyAlignment="1">
      <alignment horizontal="left" vertical="center" indent="1"/>
    </xf>
    <xf numFmtId="0" fontId="130" fillId="0" borderId="124" xfId="65" applyFont="1" applyBorder="1" applyAlignment="1">
      <alignment horizontal="left" vertical="center" indent="1"/>
    </xf>
    <xf numFmtId="0" fontId="130" fillId="0" borderId="125" xfId="65" applyFont="1" applyBorder="1" applyAlignment="1">
      <alignment horizontal="left" vertical="center" indent="1"/>
    </xf>
    <xf numFmtId="0" fontId="131" fillId="0" borderId="120" xfId="65" applyFont="1" applyBorder="1" applyAlignment="1">
      <alignment horizontal="left" vertical="center"/>
    </xf>
    <xf numFmtId="0" fontId="130" fillId="0" borderId="126" xfId="65" applyFont="1" applyBorder="1" applyAlignment="1">
      <alignment horizontal="center" vertical="center"/>
    </xf>
    <xf numFmtId="0" fontId="130" fillId="0" borderId="121" xfId="65" applyFont="1" applyBorder="1" applyAlignment="1">
      <alignment horizontal="center" vertical="center"/>
    </xf>
    <xf numFmtId="0" fontId="130" fillId="0" borderId="122" xfId="65" applyFont="1" applyBorder="1" applyAlignment="1">
      <alignment horizontal="left" vertical="center"/>
    </xf>
    <xf numFmtId="0" fontId="130" fillId="0" borderId="123" xfId="65" applyFont="1" applyBorder="1" applyAlignment="1">
      <alignment horizontal="center" vertical="center"/>
    </xf>
    <xf numFmtId="0" fontId="130" fillId="0" borderId="124" xfId="65" applyFont="1" applyBorder="1" applyAlignment="1">
      <alignment horizontal="left" vertical="center"/>
    </xf>
    <xf numFmtId="0" fontId="130" fillId="0" borderId="127" xfId="65" applyFont="1" applyBorder="1" applyAlignment="1">
      <alignment horizontal="center" vertical="center"/>
    </xf>
    <xf numFmtId="0" fontId="130" fillId="0" borderId="125" xfId="65" applyFont="1" applyBorder="1" applyAlignment="1">
      <alignment horizontal="center" vertical="center"/>
    </xf>
    <xf numFmtId="0" fontId="130" fillId="0" borderId="13" xfId="65" applyFont="1" applyBorder="1" applyAlignment="1">
      <alignment horizontal="left" vertical="center"/>
    </xf>
    <xf numFmtId="0" fontId="130" fillId="0" borderId="16" xfId="65" applyFont="1" applyBorder="1" applyAlignment="1">
      <alignment horizontal="center" vertical="center"/>
    </xf>
    <xf numFmtId="0" fontId="130" fillId="0" borderId="14" xfId="65" applyFont="1" applyBorder="1" applyAlignment="1">
      <alignment horizontal="center" vertical="center"/>
    </xf>
    <xf numFmtId="0" fontId="130" fillId="0" borderId="26" xfId="65" applyFont="1" applyBorder="1" applyAlignment="1">
      <alignment horizontal="left" vertical="center"/>
    </xf>
    <xf numFmtId="0" fontId="130" fillId="0" borderId="28" xfId="65" applyFont="1" applyBorder="1" applyAlignment="1">
      <alignment horizontal="center" vertical="center"/>
    </xf>
    <xf numFmtId="0" fontId="130" fillId="0" borderId="27" xfId="65" applyFont="1" applyBorder="1" applyAlignment="1">
      <alignment horizontal="center" vertical="center"/>
    </xf>
    <xf numFmtId="0" fontId="135" fillId="16" borderId="32" xfId="65" applyFont="1" applyFill="1" applyBorder="1" applyAlignment="1">
      <alignment horizontal="center" vertical="center"/>
    </xf>
    <xf numFmtId="0" fontId="130" fillId="0" borderId="47" xfId="65" applyFont="1" applyBorder="1" applyAlignment="1">
      <alignment horizontal="center" vertical="center"/>
    </xf>
    <xf numFmtId="0" fontId="130" fillId="0" borderId="31" xfId="65" applyFont="1" applyBorder="1" applyAlignment="1">
      <alignment horizontal="center" vertical="center"/>
    </xf>
    <xf numFmtId="0" fontId="135" fillId="16" borderId="13" xfId="65" applyFont="1" applyFill="1" applyBorder="1" applyAlignment="1">
      <alignment horizontal="center" vertical="center"/>
    </xf>
    <xf numFmtId="0" fontId="130" fillId="0" borderId="1" xfId="65" applyFont="1" applyBorder="1" applyAlignment="1">
      <alignment horizontal="center" vertical="center"/>
    </xf>
    <xf numFmtId="0" fontId="130" fillId="0" borderId="0" xfId="65" quotePrefix="1" applyFont="1" applyAlignment="1">
      <alignment horizontal="center" vertical="center"/>
    </xf>
    <xf numFmtId="0" fontId="133" fillId="56" borderId="128" xfId="65" applyFont="1" applyFill="1" applyBorder="1" applyAlignment="1">
      <alignment horizontal="center" vertical="center"/>
    </xf>
    <xf numFmtId="0" fontId="136" fillId="0" borderId="0" xfId="65" applyFont="1" applyAlignment="1">
      <alignment horizontal="center" vertical="center"/>
    </xf>
    <xf numFmtId="177" fontId="130" fillId="0" borderId="0" xfId="65" applyNumberFormat="1" applyFont="1" applyAlignment="1">
      <alignment horizontal="center" vertical="center"/>
    </xf>
    <xf numFmtId="0" fontId="130" fillId="0" borderId="128" xfId="65" applyFont="1" applyBorder="1" applyAlignment="1">
      <alignment horizontal="center" vertical="center"/>
    </xf>
    <xf numFmtId="0" fontId="130" fillId="0" borderId="129" xfId="65" applyFont="1" applyBorder="1" applyAlignment="1">
      <alignment horizontal="center" vertical="center"/>
    </xf>
    <xf numFmtId="0" fontId="135" fillId="16" borderId="26" xfId="65" applyFont="1" applyFill="1" applyBorder="1" applyAlignment="1">
      <alignment horizontal="center" vertical="center"/>
    </xf>
    <xf numFmtId="0" fontId="44" fillId="0" borderId="6" xfId="24" applyNumberFormat="1" applyFont="1" applyFill="1" applyBorder="1" applyAlignment="1">
      <alignment horizontal="center" vertical="center"/>
    </xf>
    <xf numFmtId="183" fontId="44" fillId="14" borderId="6" xfId="0" applyNumberFormat="1" applyFont="1" applyFill="1" applyBorder="1" applyAlignment="1">
      <alignment horizontal="center"/>
    </xf>
    <xf numFmtId="184" fontId="44" fillId="14" borderId="6" xfId="0" applyNumberFormat="1" applyFont="1" applyFill="1" applyBorder="1" applyAlignment="1">
      <alignment horizontal="center"/>
    </xf>
    <xf numFmtId="0" fontId="130" fillId="0" borderId="6" xfId="65" quotePrefix="1" applyFont="1" applyBorder="1" applyAlignment="1">
      <alignment horizontal="left" vertical="center" indent="1"/>
    </xf>
    <xf numFmtId="0" fontId="44" fillId="0" borderId="29" xfId="0" applyFont="1" applyBorder="1" applyAlignment="1">
      <alignment horizontal="left"/>
    </xf>
    <xf numFmtId="170" fontId="44" fillId="0" borderId="29" xfId="0" applyNumberFormat="1" applyFont="1" applyBorder="1" applyAlignment="1">
      <alignment horizontal="center"/>
    </xf>
    <xf numFmtId="170" fontId="44" fillId="32" borderId="29" xfId="0" applyNumberFormat="1" applyFont="1" applyFill="1" applyBorder="1" applyAlignment="1">
      <alignment horizontal="center"/>
    </xf>
    <xf numFmtId="168" fontId="44" fillId="32" borderId="29" xfId="0" applyNumberFormat="1" applyFont="1" applyFill="1" applyBorder="1" applyAlignment="1">
      <alignment horizontal="center"/>
    </xf>
    <xf numFmtId="171" fontId="44" fillId="0" borderId="29" xfId="0" applyNumberFormat="1" applyFont="1" applyBorder="1" applyAlignment="1">
      <alignment horizontal="center"/>
    </xf>
    <xf numFmtId="186" fontId="44" fillId="0" borderId="29" xfId="0" applyNumberFormat="1" applyFont="1" applyBorder="1" applyAlignment="1">
      <alignment horizontal="center"/>
    </xf>
    <xf numFmtId="0" fontId="104" fillId="32" borderId="29" xfId="0" applyFont="1" applyFill="1" applyBorder="1" applyAlignment="1">
      <alignment horizontal="center"/>
    </xf>
    <xf numFmtId="2" fontId="51" fillId="18" borderId="29" xfId="0" applyNumberFormat="1" applyFont="1" applyFill="1" applyBorder="1" applyAlignment="1">
      <alignment horizontal="center"/>
    </xf>
    <xf numFmtId="2" fontId="44" fillId="32" borderId="29" xfId="0" applyNumberFormat="1" applyFont="1" applyFill="1" applyBorder="1" applyAlignment="1">
      <alignment horizontal="center"/>
    </xf>
    <xf numFmtId="178" fontId="44" fillId="32" borderId="29" xfId="0" applyNumberFormat="1" applyFont="1" applyFill="1" applyBorder="1" applyAlignment="1">
      <alignment horizontal="center"/>
    </xf>
    <xf numFmtId="178" fontId="51" fillId="18" borderId="29" xfId="0" applyNumberFormat="1" applyFont="1" applyFill="1" applyBorder="1" applyAlignment="1">
      <alignment horizontal="center"/>
    </xf>
    <xf numFmtId="49" fontId="44" fillId="0" borderId="30" xfId="0" applyNumberFormat="1" applyFont="1" applyBorder="1" applyAlignment="1" applyProtection="1">
      <alignment horizontal="left" vertical="center"/>
      <protection locked="0"/>
    </xf>
    <xf numFmtId="3" fontId="44" fillId="0" borderId="6" xfId="0" applyNumberFormat="1" applyFont="1" applyBorder="1" applyAlignment="1" applyProtection="1">
      <alignment horizontal="center" vertical="center"/>
      <protection locked="0"/>
    </xf>
    <xf numFmtId="167" fontId="44" fillId="0" borderId="6" xfId="0" applyNumberFormat="1" applyFont="1" applyBorder="1" applyAlignment="1" applyProtection="1">
      <alignment horizontal="center" vertical="center"/>
      <protection locked="0"/>
    </xf>
    <xf numFmtId="0" fontId="44" fillId="0" borderId="6" xfId="0" applyFont="1" applyBorder="1" applyAlignment="1" applyProtection="1">
      <alignment horizontal="center" vertical="center"/>
      <protection locked="0"/>
    </xf>
    <xf numFmtId="1" fontId="44" fillId="0" borderId="6" xfId="0" applyNumberFormat="1" applyFont="1" applyBorder="1" applyAlignment="1" applyProtection="1">
      <alignment horizontal="center" vertical="center"/>
      <protection locked="0"/>
    </xf>
    <xf numFmtId="1" fontId="44" fillId="0" borderId="6" xfId="0" applyNumberFormat="1" applyFont="1" applyBorder="1" applyAlignment="1" applyProtection="1">
      <alignment horizontal="center"/>
      <protection locked="0"/>
    </xf>
    <xf numFmtId="168" fontId="44" fillId="0" borderId="6" xfId="0" applyNumberFormat="1" applyFont="1" applyBorder="1" applyAlignment="1" applyProtection="1">
      <alignment horizontal="center" vertical="center"/>
      <protection locked="0"/>
    </xf>
    <xf numFmtId="173" fontId="44" fillId="0" borderId="6" xfId="0" applyNumberFormat="1" applyFont="1" applyBorder="1" applyAlignment="1" applyProtection="1">
      <alignment horizontal="center" vertical="center"/>
      <protection locked="0"/>
    </xf>
    <xf numFmtId="0" fontId="44" fillId="32" borderId="6" xfId="0" applyFont="1" applyFill="1" applyBorder="1" applyAlignment="1" applyProtection="1">
      <alignment horizontal="center" vertical="center"/>
      <protection locked="0"/>
    </xf>
    <xf numFmtId="0" fontId="44" fillId="16" borderId="6" xfId="0" applyFont="1" applyFill="1" applyBorder="1" applyAlignment="1" applyProtection="1">
      <alignment horizontal="center" vertical="center"/>
      <protection locked="0"/>
    </xf>
    <xf numFmtId="9" fontId="44" fillId="32" borderId="6" xfId="24" applyFont="1" applyFill="1" applyBorder="1" applyAlignment="1" applyProtection="1">
      <alignment horizontal="center" vertical="center"/>
    </xf>
    <xf numFmtId="3" fontId="44" fillId="32" borderId="6" xfId="0" applyNumberFormat="1" applyFont="1" applyFill="1" applyBorder="1" applyAlignment="1">
      <alignment horizontal="center" vertical="center"/>
    </xf>
    <xf numFmtId="169" fontId="44" fillId="32" borderId="6" xfId="0" applyNumberFormat="1" applyFont="1" applyFill="1" applyBorder="1" applyAlignment="1">
      <alignment horizontal="center" vertical="center"/>
    </xf>
    <xf numFmtId="0" fontId="44" fillId="0" borderId="32" xfId="0" applyFont="1" applyBorder="1" applyAlignment="1">
      <alignment vertical="center"/>
    </xf>
    <xf numFmtId="0" fontId="44" fillId="0" borderId="47" xfId="0" applyFont="1" applyBorder="1" applyAlignment="1">
      <alignment horizontal="right" vertical="center"/>
    </xf>
    <xf numFmtId="0" fontId="44" fillId="0" borderId="47" xfId="0" applyFont="1" applyBorder="1" applyAlignment="1">
      <alignment horizontal="left" vertical="center"/>
    </xf>
    <xf numFmtId="0" fontId="44" fillId="0" borderId="31" xfId="0" applyFont="1" applyBorder="1" applyAlignment="1">
      <alignment horizontal="left" vertical="center"/>
    </xf>
    <xf numFmtId="0" fontId="44" fillId="0" borderId="13" xfId="0" applyFont="1" applyBorder="1" applyAlignment="1">
      <alignment vertical="center"/>
    </xf>
    <xf numFmtId="11" fontId="44" fillId="0" borderId="0" xfId="0" applyNumberFormat="1" applyFont="1" applyAlignment="1">
      <alignment horizontal="right" vertical="center"/>
    </xf>
    <xf numFmtId="0" fontId="44" fillId="0" borderId="14" xfId="0" applyFont="1" applyBorder="1" applyAlignment="1">
      <alignment horizontal="left" vertical="center"/>
    </xf>
    <xf numFmtId="0" fontId="44" fillId="0" borderId="14" xfId="0" applyFont="1" applyBorder="1" applyAlignment="1">
      <alignment horizontal="center" vertical="center"/>
    </xf>
    <xf numFmtId="0" fontId="44" fillId="0" borderId="26" xfId="0" applyFont="1" applyBorder="1" applyAlignment="1">
      <alignment vertical="center"/>
    </xf>
    <xf numFmtId="0" fontId="44" fillId="0" borderId="1" xfId="0" applyFont="1" applyBorder="1" applyAlignment="1">
      <alignment vertical="center"/>
    </xf>
    <xf numFmtId="0" fontId="44" fillId="0" borderId="1" xfId="0" applyFont="1" applyBorder="1" applyAlignment="1">
      <alignment horizontal="right" vertical="center"/>
    </xf>
    <xf numFmtId="0" fontId="44" fillId="0" borderId="1" xfId="0" applyFont="1" applyBorder="1" applyAlignment="1">
      <alignment horizontal="left" vertical="center"/>
    </xf>
    <xf numFmtId="11" fontId="44" fillId="0" borderId="1" xfId="0" applyNumberFormat="1" applyFont="1" applyBorder="1" applyAlignment="1">
      <alignment horizontal="right" vertical="center"/>
    </xf>
    <xf numFmtId="0" fontId="44" fillId="0" borderId="27" xfId="0" applyFont="1" applyBorder="1" applyAlignment="1">
      <alignment horizontal="left" vertical="center"/>
    </xf>
    <xf numFmtId="0" fontId="39" fillId="0" borderId="6" xfId="26" applyBorder="1" applyAlignment="1">
      <alignment horizontal="center" vertical="center" wrapText="1"/>
    </xf>
    <xf numFmtId="0" fontId="49" fillId="0" borderId="29" xfId="0" applyFont="1" applyBorder="1" applyAlignment="1">
      <alignment horizontal="center" vertical="center"/>
    </xf>
    <xf numFmtId="0" fontId="90" fillId="0" borderId="42" xfId="0" applyFont="1" applyBorder="1" applyAlignment="1" applyProtection="1">
      <alignment horizontal="center" vertical="center"/>
      <protection locked="0"/>
    </xf>
    <xf numFmtId="0" fontId="90" fillId="0" borderId="45" xfId="0" applyFont="1" applyBorder="1" applyAlignment="1" applyProtection="1">
      <alignment horizontal="center" vertical="center"/>
      <protection locked="0"/>
    </xf>
    <xf numFmtId="0" fontId="90" fillId="0" borderId="43" xfId="0" applyFont="1" applyBorder="1" applyAlignment="1" applyProtection="1">
      <alignment horizontal="center" vertical="center"/>
      <protection locked="0"/>
    </xf>
    <xf numFmtId="0" fontId="90" fillId="0" borderId="45" xfId="0" applyFont="1" applyBorder="1" applyAlignment="1" applyProtection="1">
      <alignment horizontal="center" wrapText="1"/>
      <protection locked="0"/>
    </xf>
    <xf numFmtId="0" fontId="90" fillId="0" borderId="13" xfId="0" applyFont="1" applyBorder="1" applyAlignment="1" applyProtection="1">
      <alignment horizontal="center" vertical="center"/>
      <protection locked="0"/>
    </xf>
    <xf numFmtId="0" fontId="90" fillId="0" borderId="0" xfId="0" applyFont="1" applyAlignment="1" applyProtection="1">
      <alignment horizontal="center" vertical="center"/>
      <protection locked="0"/>
    </xf>
    <xf numFmtId="0" fontId="90" fillId="0" borderId="14" xfId="0" applyFont="1" applyBorder="1" applyAlignment="1" applyProtection="1">
      <alignment horizontal="center" vertical="center"/>
      <protection locked="0"/>
    </xf>
    <xf numFmtId="0" fontId="90" fillId="0" borderId="40" xfId="0" applyFont="1" applyBorder="1" applyAlignment="1" applyProtection="1">
      <alignment horizontal="center"/>
      <protection locked="0"/>
    </xf>
    <xf numFmtId="0" fontId="90" fillId="0" borderId="42" xfId="0" applyFont="1" applyBorder="1" applyAlignment="1" applyProtection="1">
      <alignment horizontal="center"/>
      <protection locked="0"/>
    </xf>
    <xf numFmtId="0" fontId="90" fillId="0" borderId="35" xfId="0" applyFont="1" applyBorder="1" applyAlignment="1" applyProtection="1">
      <alignment horizontal="center"/>
      <protection locked="0"/>
    </xf>
    <xf numFmtId="0" fontId="90" fillId="0" borderId="45" xfId="0" applyFont="1" applyBorder="1" applyAlignment="1" applyProtection="1">
      <alignment horizontal="center"/>
      <protection locked="0"/>
    </xf>
    <xf numFmtId="0" fontId="90" fillId="0" borderId="40" xfId="0" applyFont="1" applyBorder="1" applyAlignment="1" applyProtection="1">
      <alignment horizontal="center" wrapText="1"/>
      <protection locked="0"/>
    </xf>
    <xf numFmtId="0" fontId="90" fillId="0" borderId="42" xfId="0" applyFont="1" applyBorder="1" applyAlignment="1" applyProtection="1">
      <alignment horizontal="center" vertical="center" wrapText="1"/>
      <protection locked="0"/>
    </xf>
    <xf numFmtId="0" fontId="90" fillId="0" borderId="45" xfId="0" applyFont="1" applyBorder="1" applyAlignment="1" applyProtection="1">
      <alignment horizontal="center" vertical="center" wrapText="1"/>
      <protection locked="0"/>
    </xf>
    <xf numFmtId="0" fontId="90" fillId="0" borderId="43" xfId="0" applyFont="1" applyBorder="1" applyAlignment="1" applyProtection="1">
      <alignment horizontal="center" vertical="center" wrapText="1"/>
      <protection locked="0"/>
    </xf>
    <xf numFmtId="0" fontId="90" fillId="0" borderId="16" xfId="0" applyFont="1" applyBorder="1" applyAlignment="1" applyProtection="1">
      <alignment horizontal="center" vertical="center"/>
      <protection locked="0"/>
    </xf>
    <xf numFmtId="0" fontId="90" fillId="0" borderId="46" xfId="0" applyFont="1" applyBorder="1" applyAlignment="1" applyProtection="1">
      <alignment horizontal="center" vertical="top"/>
      <protection locked="0"/>
    </xf>
    <xf numFmtId="0" fontId="90" fillId="0" borderId="44" xfId="0" applyFont="1" applyBorder="1" applyAlignment="1" applyProtection="1">
      <alignment horizontal="center" vertical="top"/>
      <protection locked="0"/>
    </xf>
    <xf numFmtId="0" fontId="90" fillId="0" borderId="13" xfId="0" applyFont="1" applyBorder="1" applyAlignment="1" applyProtection="1">
      <alignment horizontal="center" vertical="top"/>
      <protection locked="0"/>
    </xf>
    <xf numFmtId="0" fontId="106" fillId="0" borderId="13" xfId="0" applyFont="1" applyBorder="1" applyAlignment="1" applyProtection="1">
      <alignment horizontal="center" vertical="center"/>
      <protection locked="0"/>
    </xf>
    <xf numFmtId="0" fontId="106" fillId="0" borderId="14" xfId="0" applyFont="1" applyBorder="1" applyAlignment="1" applyProtection="1">
      <alignment horizontal="center" vertical="center"/>
      <protection locked="0"/>
    </xf>
    <xf numFmtId="0" fontId="90" fillId="0" borderId="0" xfId="0" applyFont="1" applyAlignment="1" applyProtection="1">
      <alignment horizontal="center" vertical="top"/>
      <protection locked="0"/>
    </xf>
    <xf numFmtId="0" fontId="90" fillId="0" borderId="14" xfId="0" applyFont="1" applyBorder="1" applyAlignment="1" applyProtection="1">
      <alignment horizontal="center" vertical="top"/>
      <protection locked="0"/>
    </xf>
    <xf numFmtId="1" fontId="93" fillId="0" borderId="13" xfId="0" applyNumberFormat="1" applyFont="1" applyBorder="1" applyAlignment="1">
      <alignment horizontal="center" vertical="center"/>
    </xf>
    <xf numFmtId="1" fontId="93" fillId="0" borderId="0" xfId="0" applyNumberFormat="1" applyFont="1" applyAlignment="1">
      <alignment horizontal="center" vertical="center"/>
    </xf>
    <xf numFmtId="1" fontId="93" fillId="0" borderId="83" xfId="0" applyNumberFormat="1" applyFont="1" applyBorder="1" applyAlignment="1">
      <alignment horizontal="center" vertical="center"/>
    </xf>
    <xf numFmtId="0" fontId="93" fillId="0" borderId="84" xfId="0" applyFont="1" applyBorder="1" applyAlignment="1" applyProtection="1">
      <alignment horizontal="center" vertical="center"/>
      <protection locked="0"/>
    </xf>
    <xf numFmtId="0" fontId="93" fillId="0" borderId="83" xfId="0" applyFont="1" applyBorder="1" applyAlignment="1" applyProtection="1">
      <alignment horizontal="center" vertical="center"/>
      <protection locked="0"/>
    </xf>
    <xf numFmtId="0" fontId="93" fillId="0" borderId="0" xfId="0" applyFont="1" applyAlignment="1" applyProtection="1">
      <alignment horizontal="center" vertical="center"/>
      <protection locked="0"/>
    </xf>
    <xf numFmtId="170" fontId="58" fillId="0" borderId="0" xfId="0" applyNumberFormat="1" applyFont="1" applyAlignment="1" applyProtection="1">
      <alignment horizontal="center" vertical="center"/>
      <protection locked="0"/>
    </xf>
    <xf numFmtId="170" fontId="59" fillId="0" borderId="0" xfId="0" applyNumberFormat="1" applyFont="1" applyAlignment="1" applyProtection="1">
      <alignment horizontal="center" vertical="center"/>
      <protection locked="0"/>
    </xf>
    <xf numFmtId="2" fontId="90" fillId="0" borderId="13" xfId="0" applyNumberFormat="1" applyFont="1" applyBorder="1" applyAlignment="1" applyProtection="1">
      <alignment horizontal="center" vertical="center"/>
      <protection locked="0"/>
    </xf>
    <xf numFmtId="2" fontId="90" fillId="0" borderId="14" xfId="0" applyNumberFormat="1" applyFont="1" applyBorder="1" applyAlignment="1" applyProtection="1">
      <alignment horizontal="center" vertical="center"/>
      <protection locked="0"/>
    </xf>
    <xf numFmtId="2" fontId="58" fillId="0" borderId="0" xfId="0" applyNumberFormat="1" applyFont="1" applyAlignment="1" applyProtection="1">
      <alignment horizontal="center" vertical="center"/>
      <protection locked="0"/>
    </xf>
    <xf numFmtId="2" fontId="90" fillId="0" borderId="0" xfId="0" applyNumberFormat="1" applyFont="1" applyAlignment="1" applyProtection="1">
      <alignment horizontal="center" vertical="center"/>
      <protection locked="0"/>
    </xf>
    <xf numFmtId="0" fontId="0" fillId="0" borderId="0" xfId="0" applyAlignment="1">
      <alignment horizontal="center" vertical="center"/>
    </xf>
    <xf numFmtId="0" fontId="0" fillId="0" borderId="14" xfId="0" applyBorder="1" applyAlignment="1">
      <alignment horizontal="center" vertical="center"/>
    </xf>
    <xf numFmtId="0" fontId="90" fillId="0" borderId="16" xfId="0" applyFont="1" applyBorder="1" applyAlignment="1" applyProtection="1">
      <alignment horizontal="center" wrapText="1"/>
      <protection locked="0"/>
    </xf>
    <xf numFmtId="0" fontId="90" fillId="0" borderId="28" xfId="0" applyFont="1" applyBorder="1" applyAlignment="1" applyProtection="1">
      <alignment horizontal="center" wrapText="1"/>
      <protection locked="0"/>
    </xf>
    <xf numFmtId="0" fontId="67" fillId="18" borderId="13" xfId="0" applyFont="1" applyFill="1" applyBorder="1" applyAlignment="1">
      <alignment horizontal="center" vertical="center"/>
    </xf>
    <xf numFmtId="0" fontId="67" fillId="18" borderId="0" xfId="0" applyFont="1" applyFill="1" applyAlignment="1">
      <alignment horizontal="center" vertical="center"/>
    </xf>
    <xf numFmtId="4" fontId="74" fillId="0" borderId="0" xfId="0" applyNumberFormat="1" applyFont="1" applyAlignment="1">
      <alignment horizontal="center"/>
    </xf>
    <xf numFmtId="176" fontId="45" fillId="18" borderId="6" xfId="0" applyNumberFormat="1" applyFont="1" applyFill="1" applyBorder="1" applyAlignment="1">
      <alignment horizontal="center" vertical="center"/>
    </xf>
    <xf numFmtId="0" fontId="45" fillId="34" borderId="6" xfId="0" applyFont="1" applyFill="1" applyBorder="1" applyAlignment="1">
      <alignment horizontal="center" vertical="center" wrapText="1"/>
    </xf>
    <xf numFmtId="2" fontId="44" fillId="14" borderId="0" xfId="0" applyNumberFormat="1" applyFont="1" applyFill="1" applyAlignment="1">
      <alignment horizontal="center" vertical="center" wrapText="1"/>
    </xf>
    <xf numFmtId="2" fontId="44" fillId="14" borderId="22" xfId="0" applyNumberFormat="1" applyFont="1" applyFill="1" applyBorder="1" applyAlignment="1">
      <alignment horizontal="center" vertical="center" wrapText="1"/>
    </xf>
    <xf numFmtId="2" fontId="44" fillId="14" borderId="5" xfId="0" applyNumberFormat="1" applyFont="1" applyFill="1" applyBorder="1" applyAlignment="1">
      <alignment horizontal="center" vertical="center" wrapText="1"/>
    </xf>
    <xf numFmtId="2" fontId="44" fillId="14" borderId="30" xfId="0" applyNumberFormat="1" applyFont="1" applyFill="1" applyBorder="1" applyAlignment="1">
      <alignment horizontal="center" vertical="center" wrapText="1"/>
    </xf>
    <xf numFmtId="0" fontId="67" fillId="18" borderId="6" xfId="0" applyFont="1" applyFill="1" applyBorder="1" applyAlignment="1">
      <alignment horizontal="center" vertical="center"/>
    </xf>
    <xf numFmtId="176" fontId="45" fillId="18" borderId="22" xfId="0" applyNumberFormat="1" applyFont="1" applyFill="1" applyBorder="1" applyAlignment="1">
      <alignment horizontal="center" vertical="center"/>
    </xf>
    <xf numFmtId="176" fontId="45" fillId="18" borderId="5" xfId="0" applyNumberFormat="1" applyFont="1" applyFill="1" applyBorder="1" applyAlignment="1">
      <alignment horizontal="center" vertical="center"/>
    </xf>
    <xf numFmtId="176" fontId="45" fillId="18" borderId="30" xfId="0" applyNumberFormat="1" applyFont="1" applyFill="1" applyBorder="1" applyAlignment="1">
      <alignment horizontal="center" vertical="center"/>
    </xf>
    <xf numFmtId="0" fontId="45" fillId="34" borderId="22" xfId="0" applyFont="1" applyFill="1" applyBorder="1" applyAlignment="1">
      <alignment horizontal="center" vertical="center"/>
    </xf>
    <xf numFmtId="0" fontId="45" fillId="34" borderId="5" xfId="0" applyFont="1" applyFill="1" applyBorder="1" applyAlignment="1">
      <alignment horizontal="center" vertical="center"/>
    </xf>
    <xf numFmtId="0" fontId="45" fillId="34" borderId="30" xfId="0" applyFont="1" applyFill="1" applyBorder="1" applyAlignment="1">
      <alignment horizontal="center" vertical="center"/>
    </xf>
    <xf numFmtId="168" fontId="49" fillId="0" borderId="1" xfId="0" applyNumberFormat="1" applyFont="1" applyBorder="1" applyAlignment="1">
      <alignment horizontal="center" vertical="center"/>
    </xf>
    <xf numFmtId="0" fontId="49" fillId="0" borderId="1" xfId="0" applyFont="1" applyBorder="1" applyAlignment="1">
      <alignment horizontal="center" vertical="center"/>
    </xf>
    <xf numFmtId="168" fontId="44" fillId="32" borderId="22" xfId="0" applyNumberFormat="1" applyFont="1" applyFill="1" applyBorder="1" applyAlignment="1">
      <alignment horizontal="center" vertical="center" wrapText="1"/>
    </xf>
    <xf numFmtId="168" fontId="44" fillId="32" borderId="5" xfId="0" applyNumberFormat="1" applyFont="1" applyFill="1" applyBorder="1" applyAlignment="1">
      <alignment horizontal="center" vertical="center" wrapText="1"/>
    </xf>
    <xf numFmtId="168" fontId="44" fillId="32" borderId="30" xfId="0" applyNumberFormat="1" applyFont="1" applyFill="1" applyBorder="1" applyAlignment="1">
      <alignment horizontal="center" vertical="center" wrapText="1"/>
    </xf>
    <xf numFmtId="0" fontId="132" fillId="0" borderId="0" xfId="65" applyFont="1" applyAlignment="1">
      <alignment horizontal="center" vertical="center"/>
    </xf>
    <xf numFmtId="0" fontId="134" fillId="0" borderId="91" xfId="65" applyFont="1" applyBorder="1" applyAlignment="1">
      <alignment horizontal="center" vertical="center"/>
    </xf>
    <xf numFmtId="0" fontId="130" fillId="0" borderId="0" xfId="65" quotePrefix="1" applyFont="1" applyAlignment="1">
      <alignment horizontal="center" vertical="center"/>
    </xf>
    <xf numFmtId="0" fontId="130" fillId="0" borderId="0" xfId="65" applyFont="1" applyAlignment="1">
      <alignment horizontal="center" vertical="center"/>
    </xf>
    <xf numFmtId="0" fontId="49" fillId="0" borderId="32" xfId="0" applyFont="1" applyBorder="1" applyAlignment="1">
      <alignment horizontal="center" vertical="center"/>
    </xf>
    <xf numFmtId="0" fontId="49" fillId="0" borderId="47" xfId="0" applyFont="1" applyBorder="1" applyAlignment="1">
      <alignment horizontal="center" vertical="center"/>
    </xf>
    <xf numFmtId="0" fontId="49" fillId="0" borderId="31" xfId="0" applyFont="1" applyBorder="1" applyAlignment="1">
      <alignment horizontal="center" vertical="center"/>
    </xf>
    <xf numFmtId="4" fontId="49" fillId="32" borderId="22" xfId="0" applyNumberFormat="1" applyFont="1" applyFill="1" applyBorder="1" applyAlignment="1">
      <alignment horizontal="center" vertical="center" wrapText="1"/>
    </xf>
    <xf numFmtId="4" fontId="49" fillId="32" borderId="5" xfId="0" applyNumberFormat="1" applyFont="1" applyFill="1" applyBorder="1" applyAlignment="1">
      <alignment horizontal="center" vertical="center" wrapText="1"/>
    </xf>
    <xf numFmtId="4" fontId="49" fillId="32" borderId="30" xfId="0" applyNumberFormat="1" applyFont="1" applyFill="1" applyBorder="1" applyAlignment="1">
      <alignment horizontal="center" vertical="center" wrapText="1"/>
    </xf>
    <xf numFmtId="0" fontId="44" fillId="0" borderId="6" xfId="0" applyFont="1" applyBorder="1" applyAlignment="1">
      <alignment horizontal="center"/>
    </xf>
    <xf numFmtId="3" fontId="44" fillId="0" borderId="87" xfId="0" applyNumberFormat="1" applyFont="1" applyBorder="1" applyAlignment="1">
      <alignment horizontal="center"/>
    </xf>
    <xf numFmtId="3" fontId="44" fillId="0" borderId="5" xfId="0" applyNumberFormat="1" applyFont="1" applyBorder="1" applyAlignment="1">
      <alignment horizontal="center"/>
    </xf>
    <xf numFmtId="3" fontId="44" fillId="0" borderId="88" xfId="0" applyNumberFormat="1" applyFont="1" applyBorder="1" applyAlignment="1">
      <alignment horizontal="center"/>
    </xf>
    <xf numFmtId="0" fontId="44" fillId="0" borderId="5" xfId="0" applyFont="1" applyBorder="1" applyAlignment="1">
      <alignment horizontal="center"/>
    </xf>
    <xf numFmtId="0" fontId="44" fillId="0" borderId="30" xfId="0" applyFont="1" applyBorder="1" applyAlignment="1">
      <alignment horizontal="center"/>
    </xf>
    <xf numFmtId="3" fontId="44" fillId="0" borderId="89" xfId="0" applyNumberFormat="1" applyFont="1" applyBorder="1" applyAlignment="1">
      <alignment horizontal="center"/>
    </xf>
    <xf numFmtId="3" fontId="44" fillId="0" borderId="71" xfId="0" applyNumberFormat="1" applyFont="1" applyBorder="1" applyAlignment="1">
      <alignment horizontal="center"/>
    </xf>
    <xf numFmtId="3" fontId="44" fillId="0" borderId="72" xfId="0" applyNumberFormat="1" applyFont="1" applyBorder="1" applyAlignment="1">
      <alignment horizontal="center"/>
    </xf>
    <xf numFmtId="3" fontId="44" fillId="0" borderId="90" xfId="0" applyNumberFormat="1" applyFont="1" applyBorder="1" applyAlignment="1">
      <alignment horizontal="center"/>
    </xf>
    <xf numFmtId="0" fontId="44" fillId="53" borderId="6" xfId="0" applyFont="1" applyFill="1" applyBorder="1" applyAlignment="1">
      <alignment horizontal="center" vertical="center" textRotation="90"/>
    </xf>
    <xf numFmtId="0" fontId="44" fillId="51" borderId="6" xfId="0" applyFont="1" applyFill="1" applyBorder="1" applyAlignment="1">
      <alignment horizontal="center" vertical="center" textRotation="90"/>
    </xf>
    <xf numFmtId="0" fontId="44" fillId="51" borderId="6" xfId="0" applyFont="1" applyFill="1" applyBorder="1" applyAlignment="1">
      <alignment horizontal="center" textRotation="90" wrapText="1"/>
    </xf>
    <xf numFmtId="0" fontId="44" fillId="52" borderId="6" xfId="0" applyFont="1" applyFill="1" applyBorder="1" applyAlignment="1">
      <alignment horizontal="center" textRotation="90" wrapText="1"/>
    </xf>
    <xf numFmtId="0" fontId="44" fillId="0" borderId="29" xfId="0" applyFont="1" applyBorder="1" applyAlignment="1">
      <alignment horizontal="center" vertical="center" textRotation="90"/>
    </xf>
    <xf numFmtId="0" fontId="44" fillId="0" borderId="16" xfId="0" applyFont="1" applyBorder="1" applyAlignment="1">
      <alignment horizontal="center" vertical="center" textRotation="90"/>
    </xf>
    <xf numFmtId="0" fontId="44" fillId="0" borderId="28" xfId="0" applyFont="1" applyBorder="1" applyAlignment="1">
      <alignment horizontal="center" vertical="center" textRotation="90"/>
    </xf>
    <xf numFmtId="0" fontId="44" fillId="52" borderId="6" xfId="0" applyFont="1" applyFill="1" applyBorder="1" applyAlignment="1">
      <alignment horizontal="center" vertical="center" textRotation="90"/>
    </xf>
    <xf numFmtId="0" fontId="44" fillId="0" borderId="13" xfId="0" applyFont="1" applyBorder="1" applyAlignment="1">
      <alignment horizontal="center"/>
    </xf>
    <xf numFmtId="0" fontId="44" fillId="48" borderId="6" xfId="0" applyFont="1" applyFill="1" applyBorder="1" applyAlignment="1">
      <alignment horizontal="center" vertical="center" textRotation="90"/>
    </xf>
    <xf numFmtId="0" fontId="44" fillId="49" borderId="6" xfId="0" applyFont="1" applyFill="1" applyBorder="1" applyAlignment="1">
      <alignment horizontal="center" vertical="center" textRotation="90"/>
    </xf>
    <xf numFmtId="0" fontId="44" fillId="50" borderId="6" xfId="0" applyFont="1" applyFill="1" applyBorder="1" applyAlignment="1">
      <alignment horizontal="center" vertical="center" textRotation="90"/>
    </xf>
    <xf numFmtId="0" fontId="44" fillId="0" borderId="6" xfId="0" applyFont="1" applyBorder="1" applyAlignment="1">
      <alignment horizontal="center" vertical="center" textRotation="90"/>
    </xf>
    <xf numFmtId="0" fontId="44" fillId="48" borderId="6" xfId="0" applyFont="1" applyFill="1" applyBorder="1" applyAlignment="1">
      <alignment horizontal="center" textRotation="90" wrapText="1"/>
    </xf>
    <xf numFmtId="0" fontId="44" fillId="49" borderId="6" xfId="0" applyFont="1" applyFill="1" applyBorder="1" applyAlignment="1">
      <alignment horizontal="center" textRotation="90" wrapText="1"/>
    </xf>
    <xf numFmtId="0" fontId="44" fillId="50" borderId="6" xfId="0" applyFont="1" applyFill="1" applyBorder="1" applyAlignment="1">
      <alignment horizontal="center" textRotation="90" wrapText="1"/>
    </xf>
    <xf numFmtId="0" fontId="45" fillId="18" borderId="32" xfId="0" applyFont="1" applyFill="1" applyBorder="1" applyAlignment="1">
      <alignment horizontal="center"/>
    </xf>
    <xf numFmtId="0" fontId="45" fillId="18" borderId="31" xfId="0" applyFont="1" applyFill="1" applyBorder="1" applyAlignment="1">
      <alignment horizontal="center"/>
    </xf>
    <xf numFmtId="0" fontId="45" fillId="18" borderId="116" xfId="0" applyFont="1" applyFill="1" applyBorder="1" applyAlignment="1">
      <alignment horizontal="center"/>
    </xf>
    <xf numFmtId="0" fontId="49" fillId="0" borderId="16" xfId="0" applyFont="1" applyBorder="1" applyAlignment="1">
      <alignment horizontal="center" vertical="center"/>
    </xf>
    <xf numFmtId="0" fontId="49" fillId="0" borderId="28" xfId="0" applyFont="1" applyBorder="1" applyAlignment="1">
      <alignment horizontal="center" vertical="center"/>
    </xf>
    <xf numFmtId="0" fontId="44" fillId="0" borderId="16" xfId="0" applyFont="1" applyBorder="1" applyAlignment="1">
      <alignment horizontal="center" vertical="center"/>
    </xf>
    <xf numFmtId="0" fontId="44" fillId="0" borderId="28" xfId="0" applyFont="1" applyBorder="1" applyAlignment="1">
      <alignment horizontal="center" vertical="center"/>
    </xf>
    <xf numFmtId="0" fontId="44" fillId="0" borderId="1" xfId="0" applyFont="1" applyBorder="1" applyAlignment="1">
      <alignment horizontal="center" vertical="center"/>
    </xf>
    <xf numFmtId="0" fontId="50" fillId="0" borderId="16" xfId="0" applyFont="1" applyBorder="1" applyAlignment="1">
      <alignment horizontal="center" vertical="center"/>
    </xf>
    <xf numFmtId="0" fontId="50" fillId="0" borderId="28" xfId="0" applyFont="1" applyBorder="1" applyAlignment="1">
      <alignment horizontal="center" vertical="center"/>
    </xf>
    <xf numFmtId="0" fontId="108" fillId="18" borderId="98" xfId="0" applyFont="1" applyFill="1" applyBorder="1" applyAlignment="1">
      <alignment horizontal="left" vertical="center"/>
    </xf>
    <xf numFmtId="0" fontId="108" fillId="18" borderId="99" xfId="0" applyFont="1" applyFill="1" applyBorder="1" applyAlignment="1">
      <alignment horizontal="left" vertical="center"/>
    </xf>
    <xf numFmtId="0" fontId="109" fillId="0" borderId="0" xfId="0" applyFont="1" applyAlignment="1">
      <alignment horizontal="left"/>
    </xf>
  </cellXfs>
  <cellStyles count="67">
    <cellStyle name="Akzent1" xfId="1" builtinId="29" customBuiltin="1"/>
    <cellStyle name="Akzent2" xfId="2" builtinId="33" customBuiltin="1"/>
    <cellStyle name="Akzent3" xfId="3" builtinId="37" customBuiltin="1"/>
    <cellStyle name="Akzent4" xfId="4" builtinId="41" customBuiltin="1"/>
    <cellStyle name="Akzent5" xfId="5" builtinId="45" customBuiltin="1"/>
    <cellStyle name="Akzent6" xfId="6" builtinId="49" customBuiltin="1"/>
    <cellStyle name="Ausgabe" xfId="7" builtinId="21" customBuiltin="1"/>
    <cellStyle name="Berechnung" xfId="8" builtinId="22" customBuiltin="1"/>
    <cellStyle name="Eingabe" xfId="9" builtinId="20" customBuiltin="1"/>
    <cellStyle name="Ergebnis" xfId="10" builtinId="25" customBuiltin="1"/>
    <cellStyle name="Erklärender Text" xfId="11" builtinId="53" customBuiltin="1"/>
    <cellStyle name="Euro 3 2" xfId="31" xr:uid="{4AD61D6F-D9D5-4C66-B026-152CC76EE9B5}"/>
    <cellStyle name="Euro 3 2 2" xfId="45" xr:uid="{1D4731C7-BD78-42D4-8082-F8A8CB154AA4}"/>
    <cellStyle name="Gut" xfId="12" builtinId="26" customBuiltin="1"/>
    <cellStyle name="Komma" xfId="25" builtinId="3"/>
    <cellStyle name="Komma 2" xfId="36" xr:uid="{138E250E-EC51-4DBD-B6E6-41AA3B4C060B}"/>
    <cellStyle name="Komma 2 2" xfId="48" xr:uid="{396F0C32-67C4-4E6E-A3D7-5CE846C6A465}"/>
    <cellStyle name="Komma 3" xfId="43" xr:uid="{91084994-2666-4EE5-97C9-7E08913C5199}"/>
    <cellStyle name="Link" xfId="26" builtinId="8"/>
    <cellStyle name="Link 2" xfId="60" xr:uid="{2C206E9E-AA0A-43E8-8147-E295D88AF56F}"/>
    <cellStyle name="Neutral" xfId="13" builtinId="28" customBuiltin="1"/>
    <cellStyle name="Notiz" xfId="14" builtinId="10" customBuiltin="1"/>
    <cellStyle name="Notiz 2" xfId="42" xr:uid="{0C59FF71-E7F1-4D8E-94A3-06E798EAA3D1}"/>
    <cellStyle name="Per cent 2" xfId="64" xr:uid="{38ADA404-43EE-4298-8C6B-A8804EDB65FF}"/>
    <cellStyle name="Prozent" xfId="24" builtinId="5"/>
    <cellStyle name="Prozent 10" xfId="66" xr:uid="{9E5B0D7F-28E7-4279-9EA9-4F74477CC09E}"/>
    <cellStyle name="Prozent 2" xfId="28" xr:uid="{479241DA-99FE-44AC-A7EB-05DBA0458849}"/>
    <cellStyle name="Prozent 3" xfId="54" xr:uid="{88D1953A-A294-48CC-8758-3E3FB5D80F77}"/>
    <cellStyle name="Prozent 4" xfId="56" xr:uid="{AAAF91E7-D1F8-4382-A439-4363BADCC37E}"/>
    <cellStyle name="Prozent 5" xfId="57" xr:uid="{D0D9C7D7-A701-41B2-B277-254E6045985E}"/>
    <cellStyle name="Prozent 6" xfId="58" xr:uid="{BEA98A1E-C6EC-4EA5-8BCE-61E0F3A0F0A9}"/>
    <cellStyle name="Prozent 7" xfId="59" xr:uid="{2326C0EA-8D33-4996-AC8E-57CE5CF57866}"/>
    <cellStyle name="Prozent 8" xfId="61" xr:uid="{60A904C3-AD62-4938-A692-E2C323BDE171}"/>
    <cellStyle name="Prozent 9" xfId="63" xr:uid="{BB20F207-AC9D-4629-B8D8-1E0F895B08C0}"/>
    <cellStyle name="Schlecht" xfId="15" builtinId="27" customBuiltin="1"/>
    <cellStyle name="Standard" xfId="0" builtinId="0"/>
    <cellStyle name="Standard 2" xfId="27" xr:uid="{F0791C7F-A613-4A7A-A972-905C0F626313}"/>
    <cellStyle name="Standard 2 2" xfId="32" xr:uid="{24FA8401-5634-4A49-B89B-E78644938105}"/>
    <cellStyle name="Standard 2 3" xfId="39" xr:uid="{5210D6FA-C743-448E-A532-7064CA15326D}"/>
    <cellStyle name="Standard 2 3 2" xfId="51" xr:uid="{548E49EB-2038-4AF2-AE0A-C6699F025ABC}"/>
    <cellStyle name="Standard 3" xfId="40" xr:uid="{2F38A88B-3EB2-4194-A8E8-6A77B5FBB38C}"/>
    <cellStyle name="Standard 3 2" xfId="52" xr:uid="{14BB600E-6F0F-4510-8495-6D224F6CF5CB}"/>
    <cellStyle name="Standard 4" xfId="29" xr:uid="{02FD22F1-A42A-488E-A8B6-4129C88E2E77}"/>
    <cellStyle name="Standard 5" xfId="35" xr:uid="{A44D42BE-6934-4CC9-A24A-5C9B15178543}"/>
    <cellStyle name="Standard 6" xfId="41" xr:uid="{59CED6EE-D67D-4807-BCD5-C91F4BEB878B}"/>
    <cellStyle name="Standard 6 2" xfId="53" xr:uid="{81144EDB-696E-41D1-B363-B27937442AB5}"/>
    <cellStyle name="Standard 6 3 3" xfId="30" xr:uid="{5F028B75-312A-4011-A927-A5192EB6D159}"/>
    <cellStyle name="Standard 6 3 3 2" xfId="37" xr:uid="{5615800B-D84A-4384-841C-C0758DCA5B2E}"/>
    <cellStyle name="Standard 6 3 3 2 2" xfId="49" xr:uid="{B1542938-8184-4800-AD2E-9BEBC68B9356}"/>
    <cellStyle name="Standard 6 3 3 3" xfId="38" xr:uid="{E5CB2371-034D-481E-8517-9303992EC491}"/>
    <cellStyle name="Standard 6 3 3 3 2" xfId="50" xr:uid="{79CCE115-49C5-4238-ABC6-65E7DC712951}"/>
    <cellStyle name="Standard 6 3 3 4" xfId="44" xr:uid="{C55EFF07-D76C-4662-8031-2A3D407F5A8D}"/>
    <cellStyle name="Standard 7" xfId="55" xr:uid="{C3D1684A-AE54-4AE1-9E4F-0E187994ADD0}"/>
    <cellStyle name="Standard 8" xfId="62" xr:uid="{485C927F-9943-443D-A907-D8BB663ABF4F}"/>
    <cellStyle name="Standard_Stückliste_Platine_APA_2008-09-10" xfId="65" xr:uid="{99CAD729-08A7-4F40-AA10-3418E9A32C31}"/>
    <cellStyle name="Überschrift" xfId="16" builtinId="15" customBuiltin="1"/>
    <cellStyle name="Überschrift 1" xfId="17" builtinId="16" customBuiltin="1"/>
    <cellStyle name="Überschrift 2" xfId="18" builtinId="17" customBuiltin="1"/>
    <cellStyle name="Überschrift 3" xfId="19" builtinId="18" customBuiltin="1"/>
    <cellStyle name="Überschrift 4" xfId="20" builtinId="19" customBuiltin="1"/>
    <cellStyle name="Verknüpfte Zelle" xfId="21" builtinId="24" customBuiltin="1"/>
    <cellStyle name="Währung 2" xfId="33" xr:uid="{24592887-4CA4-488A-AD81-139A87C113A1}"/>
    <cellStyle name="Währung 2 2" xfId="46" xr:uid="{61F5FE9E-5ECE-46C8-B2C1-2C0FCEE7E55D}"/>
    <cellStyle name="Währung 6" xfId="34" xr:uid="{FF1DFEC1-D207-4CC5-9240-EC7486023532}"/>
    <cellStyle name="Währung 6 2" xfId="47" xr:uid="{F2BEBB87-6A4D-4AD6-B049-F6F502E21584}"/>
    <cellStyle name="Warnender Text" xfId="22" builtinId="11" customBuiltin="1"/>
    <cellStyle name="Zelle überprüfen" xfId="23" builtinId="23" customBuiltin="1"/>
  </cellStyles>
  <dxfs count="1405">
    <dxf>
      <numFmt numFmtId="0" formatCode="General"/>
    </dxf>
    <dxf>
      <numFmt numFmtId="0" formatCode="General"/>
    </dxf>
    <dxf>
      <numFmt numFmtId="186" formatCode="m/d/yyyy"/>
    </dxf>
    <dxf>
      <numFmt numFmtId="186" formatCode="m/d/yyyy"/>
    </dxf>
    <dxf>
      <numFmt numFmtId="0" formatCode="General"/>
    </dxf>
    <dxf>
      <numFmt numFmtId="0" formatCode="General"/>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left"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vertical="center" textRotation="0" wrapText="0" indent="0" justifyLastLine="0" shrinkToFit="0" readingOrder="0"/>
    </dxf>
    <dxf>
      <font>
        <strike val="0"/>
        <outline val="0"/>
        <shadow val="0"/>
        <u val="none"/>
        <vertAlign val="baseline"/>
        <sz val="10"/>
        <color auto="1"/>
        <name val="Arial Narrow"/>
        <scheme val="minor"/>
      </font>
    </dxf>
    <dxf>
      <font>
        <color theme="7"/>
      </font>
    </dxf>
    <dxf>
      <font>
        <color theme="7"/>
      </font>
    </dxf>
    <dxf>
      <font>
        <color theme="7"/>
      </font>
    </dxf>
    <dxf>
      <font>
        <color theme="7"/>
      </font>
    </dxf>
    <dxf>
      <font>
        <color theme="7"/>
      </font>
    </dxf>
    <dxf>
      <font>
        <color theme="7"/>
      </font>
    </dxf>
    <dxf>
      <font>
        <color theme="7"/>
      </font>
    </dxf>
    <dxf>
      <alignment horizontal="center" vertical="bottom" textRotation="0" wrapText="0" indent="0" justifyLastLine="0" shrinkToFit="0" readingOrder="0"/>
      <border diagonalUp="0" diagonalDown="0" outline="0">
        <left/>
        <right style="medium">
          <color indexed="64"/>
        </right>
        <top/>
        <bottom style="medium">
          <color indexed="64"/>
        </bottom>
      </border>
    </dxf>
    <dxf>
      <numFmt numFmtId="0" formatCode="General"/>
      <fill>
        <patternFill>
          <fgColor indexed="64"/>
          <bgColor theme="0" tint="-4.9989318521683403E-2"/>
        </patternFill>
      </fill>
      <alignment horizontal="center" textRotation="0" wrapText="0" indent="0" justifyLastLine="0" shrinkToFit="0" readingOrder="0"/>
      <border diagonalUp="0" diagonalDown="0" outline="0">
        <left/>
        <right style="medium">
          <color indexed="64"/>
        </right>
      </border>
    </dxf>
    <dxf>
      <alignment horizontal="center" vertical="bottom" textRotation="0" wrapText="0" indent="0" justifyLastLine="0" shrinkToFit="0" readingOrder="0"/>
      <border diagonalUp="0" diagonalDown="0" outline="0">
        <left/>
        <right/>
        <top/>
        <bottom style="medium">
          <color indexed="64"/>
        </bottom>
      </border>
    </dxf>
    <dxf>
      <numFmt numFmtId="0" formatCode="General"/>
      <fill>
        <patternFill patternType="solid">
          <fgColor indexed="64"/>
          <bgColor theme="0" tint="-4.9989318521683403E-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medium">
          <color indexed="64"/>
        </left>
        <right/>
        <top/>
        <bottom style="medium">
          <color indexed="64"/>
        </bottom>
      </border>
    </dxf>
    <dxf>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medium">
          <color indexed="64"/>
        </left>
        <right/>
      </border>
    </dxf>
    <dxf>
      <numFmt numFmtId="168" formatCode="0.0"/>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style="medium">
          <color indexed="64"/>
        </bottom>
      </border>
    </dxf>
    <dxf>
      <numFmt numFmtId="168" formatCode="0.0"/>
      <fill>
        <patternFill patternType="solid">
          <fgColor indexed="64"/>
          <bgColor theme="9" tint="0.79998168889431442"/>
        </patternFill>
      </fill>
      <alignment horizontal="center" textRotation="0" wrapText="0" indent="0" justifyLastLine="0" shrinkToFit="0" readingOrder="0"/>
      <border diagonalUp="0" diagonalDown="0" outline="0">
        <left/>
        <right style="medium">
          <color indexed="64"/>
        </right>
        <top/>
        <bottom/>
      </border>
    </dxf>
    <dxf>
      <alignment horizontal="center" vertical="bottom" textRotation="0" wrapText="0" indent="0" justifyLastLine="0" shrinkToFit="0" readingOrder="0"/>
      <border diagonalUp="0" diagonalDown="0" outline="0">
        <left/>
        <right/>
        <top/>
        <bottom style="medium">
          <color indexed="64"/>
        </bottom>
      </border>
    </dxf>
    <dxf>
      <numFmt numFmtId="168"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68" formatCode="0.0"/>
      <fill>
        <patternFill patternType="solid">
          <fgColor indexed="64"/>
          <bgColor theme="9" tint="0.79998168889431442"/>
        </patternFill>
      </fill>
      <alignment horizontal="center"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0" formatCode="General"/>
      <fill>
        <patternFill patternType="solid">
          <fgColor indexed="64"/>
          <bgColor theme="9" tint="0.79998168889431442"/>
        </patternFill>
      </fill>
      <alignment horizontal="center"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vertical="bottom"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68" formatCode="0.0"/>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 formatCode="0"/>
      <fill>
        <patternFill patternType="solid">
          <fgColor indexed="64"/>
          <bgColor theme="9" tint="0.79998168889431442"/>
        </patternFill>
      </fill>
      <alignment horizontal="center" vertical="bottom"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medium">
          <color indexed="64"/>
        </left>
        <right/>
        <top/>
        <bottom style="medium">
          <color indexed="64"/>
        </bottom>
      </border>
    </dxf>
    <dxf>
      <fill>
        <patternFill patternType="solid">
          <fgColor indexed="64"/>
          <bgColor theme="9" tint="0.79998168889431442"/>
        </patternFill>
      </fill>
      <alignment horizontal="center" textRotation="0" wrapText="0" indent="0" justifyLastLine="0" shrinkToFit="0" readingOrder="0"/>
      <border diagonalUp="0" diagonalDown="0" outline="0">
        <left style="medium">
          <color indexed="64"/>
        </left>
        <right/>
        <top/>
        <bottom/>
      </border>
    </dxf>
    <dxf>
      <border>
        <bottom style="thin">
          <color rgb="FF000000"/>
        </bottom>
      </border>
    </dxf>
    <dxf>
      <font>
        <strike val="0"/>
        <outline val="0"/>
        <shadow val="0"/>
        <u val="none"/>
        <vertAlign val="baseline"/>
        <sz val="10"/>
        <color auto="1"/>
        <name val="Arial"/>
        <scheme val="none"/>
      </font>
      <fill>
        <patternFill patternType="solid">
          <fgColor indexed="64"/>
          <bgColor theme="8"/>
        </patternFill>
      </fill>
      <alignment vertical="top" textRotation="0" wrapText="0" indent="0" justifyLastLine="0" shrinkToFit="0" readingOrder="0"/>
    </dxf>
    <dxf>
      <font>
        <color rgb="FF006100"/>
      </font>
      <fill>
        <patternFill>
          <bgColor rgb="FFC6EFCE"/>
        </patternFill>
      </fill>
    </dxf>
    <dxf>
      <font>
        <color rgb="FF9C0006"/>
      </font>
      <fill>
        <patternFill>
          <bgColor rgb="FFFFC7CE"/>
        </patternFill>
      </fill>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border outline="0">
        <top style="thin">
          <color theme="4" tint="0.39997558519241921"/>
        </top>
      </border>
    </dxf>
    <dxf>
      <alignment horizontal="center"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relativeIndent="-1"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color theme="5"/>
      </font>
    </dxf>
    <dxf>
      <font>
        <color rgb="FF9C0006"/>
      </font>
      <fill>
        <patternFill>
          <bgColor rgb="FFFFC7CE"/>
        </patternFill>
      </fill>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7"/>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7"/>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color theme="7"/>
      </font>
    </dxf>
    <dxf>
      <font>
        <color theme="7"/>
      </font>
    </dxf>
    <dxf>
      <font>
        <color theme="7"/>
      </font>
    </dxf>
    <dxf>
      <font>
        <strike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strike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strike val="0"/>
        <outline val="0"/>
        <shadow val="0"/>
        <u val="none"/>
        <vertAlign val="baseline"/>
        <sz val="10"/>
        <name val="Arial Narrow"/>
        <scheme val="minor"/>
      </font>
      <numFmt numFmtId="0" formatCode="General"/>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sz val="10"/>
        <name val="Arial Narrow"/>
        <scheme val="minor"/>
      </font>
      <numFmt numFmtId="0" formatCode="General"/>
      <fill>
        <patternFill patternType="none">
          <fgColor indexed="64"/>
          <bgColor auto="1"/>
        </patternFill>
      </fill>
      <alignment horizontal="general" vertical="center" textRotation="0" wrapText="1" indent="0" justifyLastLine="0" shrinkToFit="0" readingOrder="0"/>
    </dxf>
    <dxf>
      <fill>
        <patternFill patternType="none">
          <fgColor indexed="64"/>
          <bgColor auto="1"/>
        </patternFill>
      </fill>
      <alignment horizontal="general" vertical="center" textRotation="0" indent="0" justifyLastLine="0" shrinkToFit="0" readingOrder="0"/>
    </dxf>
    <dxf>
      <numFmt numFmtId="0" formatCode="General"/>
      <alignment horizontal="center" vertical="bottom" textRotation="0" wrapText="0" indent="0" justifyLastLine="0" shrinkToFit="0" readingOrder="0"/>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color auto="1"/>
        <name val="Arial Narrow"/>
        <scheme val="minor"/>
      </font>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b val="0"/>
        <i val="0"/>
        <strike val="0"/>
        <condense val="0"/>
        <extend val="0"/>
        <outline val="0"/>
        <shadow val="0"/>
        <u val="none"/>
        <vertAlign val="baseline"/>
        <sz val="10"/>
        <color theme="0"/>
        <name val="Arial Narrow"/>
        <scheme val="minor"/>
      </font>
      <numFmt numFmtId="177" formatCode="#,##0.00\ &quot;€&quot;"/>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1" indent="1"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0"/>
        </patternFill>
      </fill>
      <alignment horizontal="center"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sz val="10"/>
      </font>
    </dxf>
    <dxf>
      <font>
        <b val="0"/>
        <strike val="0"/>
        <outline val="0"/>
        <shadow val="0"/>
        <vertAlign val="baseline"/>
        <sz val="10"/>
      </font>
      <numFmt numFmtId="0" formatCode="General"/>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0"/>
        <name val="Arial Narrow"/>
        <scheme val="minor"/>
      </font>
      <numFmt numFmtId="0" formatCode="General"/>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rgb="FF448E5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6"/>
        </patternFill>
      </fill>
      <alignment horizontal="center" vertical="bottom" textRotation="0" wrapText="0" indent="0" justifyLastLine="0" shrinkToFit="0" readingOrder="0"/>
    </dxf>
    <dxf>
      <border diagonalUp="0" diagonalDown="0">
        <left/>
        <right style="thin">
          <color indexed="64"/>
        </right>
        <top/>
        <bottom style="thin">
          <color indexed="64"/>
        </bottom>
      </border>
    </dxf>
    <dxf>
      <font>
        <strike val="0"/>
        <outline val="0"/>
        <shadow val="0"/>
        <vertAlign val="baseline"/>
        <sz val="10"/>
        <name val="Arial Narrow"/>
        <scheme val="minor"/>
      </font>
    </dxf>
    <dxf>
      <font>
        <b val="0"/>
        <strike val="0"/>
        <outline val="0"/>
        <shadow val="0"/>
        <vertAlign val="baseline"/>
        <sz val="10"/>
        <name val="Arial Narrow"/>
        <scheme val="minor"/>
      </font>
    </dxf>
    <dxf>
      <font>
        <b val="0"/>
        <i val="0"/>
        <strike val="0"/>
        <condense val="0"/>
        <extend val="0"/>
        <outline val="0"/>
        <shadow val="0"/>
        <u val="none"/>
        <vertAlign val="baseline"/>
        <sz val="10"/>
        <color auto="1"/>
        <name val="Arial Narrow"/>
        <scheme val="minor"/>
      </font>
      <fill>
        <patternFill patternType="solid">
          <fgColor indexed="64"/>
          <bgColor theme="8"/>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sz val="10"/>
      </font>
    </dxf>
    <dxf>
      <border>
        <bottom style="thin">
          <color indexed="64"/>
        </bottom>
      </border>
    </dxf>
    <dxf>
      <font>
        <b val="0"/>
        <strike val="0"/>
        <outline val="0"/>
        <shadow val="0"/>
        <vertAlign val="baseline"/>
        <sz val="10"/>
      </font>
      <numFmt numFmtId="0" formatCode="General"/>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7"/>
        <name val="Arial Narrow"/>
        <scheme val="minor"/>
      </font>
      <numFmt numFmtId="2" formatCode="0.00"/>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theme="7"/>
        <name val="Arial Narrow"/>
        <scheme val="minor"/>
      </font>
      <numFmt numFmtId="2" formatCode="0.00"/>
      <fill>
        <patternFill patternType="none">
          <fgColor indexed="64"/>
          <bgColor indexed="65"/>
        </patternFill>
      </fill>
      <alignment horizontal="center" vertical="bottom" textRotation="0" wrapText="1" indent="0" justifyLastLine="0" shrinkToFit="0" readingOrder="0"/>
    </dxf>
    <dxf>
      <font>
        <strike val="0"/>
        <outline val="0"/>
        <shadow val="0"/>
        <vertAlign val="baseline"/>
        <sz val="10"/>
        <name val="Arial Narrow"/>
        <scheme val="minor"/>
      </font>
    </dxf>
    <dxf>
      <font>
        <b/>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Arial Narrow"/>
        <scheme val="minor"/>
      </font>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0"/>
        <name val="Arial Narrow"/>
        <scheme val="minor"/>
      </font>
      <numFmt numFmtId="0" formatCode="General"/>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6"/>
        </patternFill>
      </fill>
      <alignment horizontal="center" vertical="bottom" textRotation="0" wrapText="0" indent="0" justifyLastLine="0" shrinkToFit="0" readingOrder="0"/>
    </dxf>
    <dxf>
      <font>
        <strike val="0"/>
        <outline val="0"/>
        <shadow val="0"/>
        <vertAlign val="baseline"/>
        <sz val="10"/>
        <name val="Arial Narrow"/>
        <scheme val="minor"/>
      </font>
    </dxf>
    <dxf>
      <font>
        <b val="0"/>
        <strike val="0"/>
        <outline val="0"/>
        <shadow val="0"/>
        <vertAlign val="baseline"/>
        <sz val="10"/>
        <name val="Arial Narrow"/>
        <scheme val="minor"/>
      </font>
    </dxf>
    <dxf>
      <fill>
        <patternFill patternType="none">
          <bgColor auto="1"/>
        </patternFill>
      </fill>
      <border>
        <left/>
        <right/>
        <top/>
        <bottom/>
        <vertical/>
        <horizontal/>
      </border>
    </dxf>
    <dxf>
      <fill>
        <patternFill patternType="none">
          <bgColor auto="1"/>
        </patternFill>
      </fill>
      <border>
        <left/>
        <right/>
        <top/>
        <bottom/>
        <vertical/>
        <horizontal/>
      </border>
    </dxf>
    <dxf>
      <font>
        <b val="0"/>
        <i val="0"/>
        <strike val="0"/>
        <condense val="0"/>
        <extend val="0"/>
        <outline val="0"/>
        <shadow val="0"/>
        <u val="none"/>
        <vertAlign val="baseline"/>
        <sz val="10"/>
        <color auto="1"/>
        <name val="Arial Narrow"/>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ttom style="thin">
          <color indexed="64"/>
        </bottom>
      </border>
    </dxf>
    <dxf>
      <font>
        <strike val="0"/>
        <outline val="0"/>
        <shadow val="0"/>
        <u val="none"/>
        <vertAlign val="baseline"/>
        <name val="Arial Narrow"/>
        <scheme val="minor"/>
      </font>
      <fill>
        <patternFill patternType="solid">
          <fgColor indexed="64"/>
          <bgColor theme="9" tint="0.79998168889431442"/>
        </patternFill>
      </fill>
    </dxf>
    <dxf>
      <font>
        <b val="0"/>
        <i val="0"/>
        <strike val="0"/>
        <condense val="0"/>
        <extend val="0"/>
        <outline val="0"/>
        <shadow val="0"/>
        <u val="none"/>
        <vertAlign val="baseline"/>
        <sz val="10"/>
        <color theme="0"/>
        <name val="Arial Narrow"/>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scheme val="minor"/>
      </font>
      <alignment horizontal="center" vertical="bottom" textRotation="0" wrapText="0" indent="0" justifyLastLine="0" shrinkToFit="0" readingOrder="0"/>
      <border diagonalUp="0" diagonalDown="0" outline="0">
        <left style="thin">
          <color indexed="64"/>
        </left>
        <right style="thin">
          <color indexed="64"/>
        </right>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ck">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ck">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scheme val="minor"/>
      </font>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theme="0"/>
        <name val="Arial Narrow"/>
        <scheme val="minor"/>
      </font>
      <alignment horizontal="center" vertical="bottom" textRotation="0" wrapText="0" indent="0" justifyLastLine="0" shrinkToFit="0" readingOrder="0"/>
    </dxf>
    <dxf>
      <font>
        <strike val="0"/>
        <outline val="0"/>
        <shadow val="0"/>
        <u val="none"/>
        <vertAlign val="baseline"/>
        <sz val="10"/>
        <name val="Arial Narrow"/>
        <scheme val="minor"/>
      </font>
      <fill>
        <patternFill patternType="none">
          <fgColor indexed="64"/>
          <bgColor auto="1"/>
        </patternFill>
      </fill>
      <alignment vertical="center" textRotation="0" wrapText="0" indent="0" justifyLastLine="0" shrinkToFit="0" readingOrder="0"/>
    </dxf>
    <dxf>
      <font>
        <strike val="0"/>
        <outline val="0"/>
        <shadow val="0"/>
        <u val="none"/>
        <vertAlign val="baseline"/>
        <sz val="10"/>
        <name val="Arial Narrow"/>
        <scheme val="minor"/>
      </font>
      <numFmt numFmtId="2" formatCode="0.0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3"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13" formatCode="0%"/>
      <fill>
        <patternFill patternType="none">
          <fgColor indexed="64"/>
          <bgColor indexed="65"/>
        </patternFill>
      </fill>
      <alignment horizontal="center" vertical="center" textRotation="0" wrapText="0" indent="0" justifyLastLine="0" shrinkToFit="0" readingOrder="0"/>
      <border outline="0">
        <left style="thin">
          <color indexed="64"/>
        </left>
      </border>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1"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bottom/>
      </border>
    </dxf>
    <dxf>
      <font>
        <strike val="0"/>
        <outline val="0"/>
        <shadow val="0"/>
        <u val="none"/>
        <vertAlign val="baseline"/>
        <sz val="10"/>
        <name val="Arial Narrow"/>
        <scheme val="minor"/>
      </font>
      <numFmt numFmtId="2" formatCode="0.00"/>
      <fill>
        <patternFill patternType="none">
          <fgColor indexed="64"/>
          <bgColor auto="1"/>
        </patternFill>
      </fill>
      <alignment horizontal="center" vertical="center" textRotation="0" wrapText="0" indent="0" justifyLastLine="0" shrinkToFit="0" readingOrder="0"/>
      <border outline="0">
        <right style="thin">
          <color indexed="64"/>
        </right>
      </border>
    </dxf>
    <dxf>
      <font>
        <strike val="0"/>
        <outline val="0"/>
        <shadow val="0"/>
        <u val="none"/>
        <vertAlign val="baseline"/>
        <sz val="10"/>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Narrow"/>
        <scheme val="minor"/>
      </font>
      <numFmt numFmtId="1" formatCode="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1" formatCode="0"/>
      <fill>
        <patternFill patternType="none">
          <fgColor indexed="64"/>
          <bgColor auto="1"/>
        </patternFill>
      </fill>
      <alignment vertical="center" textRotation="0" wrapText="0" indent="0" justifyLastLine="0" shrinkToFit="0" readingOrder="0"/>
    </dxf>
    <dxf>
      <font>
        <strike val="0"/>
        <outline val="0"/>
        <shadow val="0"/>
        <u val="none"/>
        <vertAlign val="baseline"/>
        <sz val="10"/>
        <name val="Arial Narrow"/>
        <scheme val="minor"/>
      </font>
      <fill>
        <patternFill patternType="none">
          <fgColor indexed="64"/>
          <bgColor auto="1"/>
        </patternFill>
      </fill>
      <alignment vertical="center" textRotation="0" wrapText="0" indent="0" justifyLastLine="0" shrinkToFit="0" readingOrder="0"/>
    </dxf>
    <dxf>
      <font>
        <b val="0"/>
        <strike val="0"/>
        <outline val="0"/>
        <shadow val="0"/>
        <u val="none"/>
        <vertAlign val="baseline"/>
        <sz val="10"/>
        <color theme="0"/>
        <name val="Arial Narrow"/>
        <scheme val="minor"/>
      </font>
      <fill>
        <patternFill patternType="none">
          <fgColor indexed="64"/>
          <bgColor auto="1"/>
        </patternFill>
      </fill>
      <alignment vertical="center" textRotation="0" wrapText="1" indent="0" justifyLastLine="0" shrinkToFit="0" readingOrder="0"/>
    </dxf>
    <dxf>
      <font>
        <color theme="0"/>
      </font>
      <fill>
        <patternFill>
          <bgColor theme="8"/>
        </patternFill>
      </fill>
    </dxf>
    <dxf>
      <font>
        <color theme="0"/>
      </font>
      <fill>
        <patternFill>
          <bgColor theme="8"/>
        </patternFill>
      </fill>
    </dxf>
    <dxf>
      <font>
        <color theme="0"/>
      </font>
      <fill>
        <patternFill>
          <bgColor theme="8"/>
        </patternFill>
      </fill>
    </dxf>
    <dxf>
      <font>
        <color theme="0"/>
      </font>
      <fill>
        <patternFill>
          <bgColor theme="8"/>
        </patternFill>
      </fill>
    </dxf>
    <dxf>
      <font>
        <color theme="0"/>
      </font>
      <fill>
        <patternFill>
          <bgColor theme="8"/>
        </patternFill>
      </fill>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0"/>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theme="8"/>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7"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0"/>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theme="8"/>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7"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0"/>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theme="8"/>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7"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0"/>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theme="8"/>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7"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strike val="0"/>
        <outline val="0"/>
        <shadow val="0"/>
        <u val="none"/>
        <vertAlign val="baseline"/>
        <sz val="10"/>
        <color auto="1"/>
        <name val="Arial Narrow"/>
        <family val="2"/>
        <scheme val="minor"/>
      </font>
      <fill>
        <patternFill patternType="solid">
          <fgColor indexed="64"/>
          <bgColor theme="4"/>
        </patternFill>
      </fil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4"/>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Narrow"/>
        <family val="2"/>
        <scheme val="minor"/>
      </font>
      <numFmt numFmtId="4"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4" formatCode="#,##0\ &quot;km&quo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3" formatCode="0.0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3" formatCode="0.0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alignment textRotation="0" wrapText="0" indent="0" justifyLastLine="0" shrinkToFit="0" readingOrder="0"/>
    </dxf>
    <dxf>
      <border>
        <bottom style="thin">
          <color indexed="64"/>
        </bottom>
      </border>
    </dxf>
    <dxf>
      <font>
        <b/>
        <i val="0"/>
        <strike val="0"/>
        <condense val="0"/>
        <extend val="0"/>
        <outline val="0"/>
        <shadow val="0"/>
        <u val="none"/>
        <vertAlign val="baseline"/>
        <sz val="10"/>
        <color theme="0"/>
        <name val="Arial Narrow"/>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theme="0"/>
        <name val="Arial Narrow"/>
        <scheme val="minor"/>
      </font>
      <numFmt numFmtId="178" formatCode="0.0000"/>
      <fill>
        <patternFill patternType="solid">
          <fgColor indexed="64"/>
          <bgColor theme="8"/>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78"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78"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0"/>
        <name val="Arial Narrow"/>
        <scheme val="minor"/>
      </font>
      <numFmt numFmtId="2" formatCode="0.00"/>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9" tint="0.79998168889431442"/>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86" formatCode="m/d/yyyy"/>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76" formatCode="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71" formatCode="0.00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scheme val="minor"/>
      </font>
      <numFmt numFmtId="171" formatCode="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70" formatCode="#,##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70" formatCode="#,##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dxf>
    <dxf>
      <border>
        <bottom style="thin">
          <color indexed="64"/>
        </bottom>
      </border>
    </dxf>
    <dxf>
      <font>
        <b val="0"/>
        <strike val="0"/>
        <outline val="0"/>
        <shadow val="0"/>
        <u val="none"/>
        <vertAlign val="baseline"/>
        <sz val="10"/>
        <color theme="0"/>
        <name val="Arial Narrow"/>
        <scheme val="minor"/>
      </font>
      <fill>
        <patternFill patternType="none">
          <fgColor indexed="64"/>
          <bgColor auto="1"/>
        </patternFill>
      </fill>
      <alignment horizontal="center" vertical="center"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1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theme="0"/>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4"/>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3" formatCode="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Narrow"/>
        <family val="2"/>
        <scheme val="minor"/>
      </font>
      <numFmt numFmtId="173" formatCode="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Narrow"/>
        <family val="2"/>
        <scheme val="minor"/>
      </font>
      <numFmt numFmtId="173" formatCode="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5" formatCode="#,##0_ ;\-#,##0\ "/>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5" formatCode="#,##0_ ;\-#,##0\ "/>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8"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7"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0"/>
        <color auto="1"/>
        <name val="Arial Narrow"/>
        <family val="2"/>
        <scheme val="minor"/>
      </font>
      <fill>
        <patternFill patternType="none">
          <fgColor indexed="64"/>
          <bgColor auto="1"/>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0"/>
        <color theme="0"/>
        <name val="Arial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bottom/>
      </border>
    </dxf>
    <dxf>
      <font>
        <strike val="0"/>
        <outline val="0"/>
        <shadow val="0"/>
        <u val="none"/>
        <vertAlign val="baseline"/>
        <sz val="10"/>
        <name val="Arial Narrow"/>
        <scheme val="minor"/>
      </font>
    </dxf>
    <dxf>
      <border>
        <bottom style="thin">
          <color indexed="64"/>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bottom/>
      </border>
    </dxf>
    <dxf>
      <font>
        <strike val="0"/>
        <outline val="0"/>
        <shadow val="0"/>
        <u val="none"/>
        <vertAlign val="baseline"/>
        <sz val="10"/>
        <name val="Arial Narrow"/>
        <scheme val="minor"/>
      </font>
    </dxf>
    <dxf>
      <border>
        <bottom style="thin">
          <color indexed="64"/>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bottom/>
      </border>
    </dxf>
    <dxf>
      <font>
        <strike val="0"/>
        <outline val="0"/>
        <shadow val="0"/>
        <u val="none"/>
        <vertAlign val="baseline"/>
        <sz val="10"/>
        <name val="Arial Narrow"/>
        <scheme val="minor"/>
      </font>
    </dxf>
    <dxf>
      <border>
        <bottom style="thin">
          <color indexed="64"/>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border diagonalUp="0" diagonalDown="0" outline="0">
        <left/>
        <right/>
        <top style="thin">
          <color indexed="64"/>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style="thin">
          <color indexed="64"/>
        </top>
        <bottom/>
      </border>
    </dxf>
    <dxf>
      <font>
        <strike val="0"/>
        <outline val="0"/>
        <shadow val="0"/>
        <u val="none"/>
        <vertAlign val="baseline"/>
        <sz val="10"/>
        <name val="Arial Narrow"/>
        <scheme val="minor"/>
      </font>
    </dxf>
    <dxf>
      <border>
        <bottom style="thin">
          <color indexed="64"/>
        </bottom>
      </border>
    </dxf>
    <dxf>
      <font>
        <strike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color theme="0"/>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dxf>
    <dxf>
      <font>
        <strike val="0"/>
        <outline val="0"/>
        <shadow val="0"/>
        <u val="none"/>
        <vertAlign val="baseline"/>
        <sz val="10"/>
        <name val="Arial Narrow"/>
        <scheme val="minor"/>
      </font>
    </dxf>
    <dxf>
      <font>
        <strike val="0"/>
        <outline val="0"/>
        <shadow val="0"/>
        <u val="none"/>
        <vertAlign val="baseline"/>
        <sz val="10"/>
        <name val="Arial Narrow"/>
        <scheme val="minor"/>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dxf>
    <dxf>
      <font>
        <strike val="0"/>
        <outline val="0"/>
        <shadow val="0"/>
        <u val="none"/>
        <vertAlign val="baseline"/>
        <sz val="10"/>
        <name val="Arial Narrow"/>
        <scheme val="minor"/>
      </font>
    </dxf>
    <dxf>
      <font>
        <strike val="0"/>
        <outline val="0"/>
        <shadow val="0"/>
        <u val="none"/>
        <vertAlign val="baseline"/>
        <sz val="10"/>
        <name val="Arial Narrow"/>
        <scheme val="minor"/>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bottom"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border diagonalUp="0" diagonalDown="0" outline="0">
        <left/>
        <right style="thin">
          <color theme="0"/>
        </right>
        <top/>
        <bottom/>
      </border>
    </dxf>
    <dxf>
      <font>
        <strike val="0"/>
        <outline val="0"/>
        <shadow val="0"/>
        <u val="none"/>
        <vertAlign val="baseline"/>
        <sz val="10"/>
        <name val="Arial Narrow"/>
        <scheme val="minor"/>
      </font>
    </dxf>
    <dxf>
      <font>
        <strike val="0"/>
        <outline val="0"/>
        <shadow val="0"/>
        <u val="none"/>
        <vertAlign val="baseline"/>
        <sz val="10"/>
        <name val="Arial Narrow"/>
        <scheme val="minor"/>
      </font>
      <fill>
        <patternFill patternType="none">
          <fgColor indexed="64"/>
          <bgColor auto="1"/>
        </patternFill>
      </fill>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left" vertical="center" textRotation="0" wrapText="1" relativeIndent="1" justifyLastLine="0" shrinkToFit="0" readingOrder="0"/>
    </dxf>
    <dxf>
      <font>
        <strike val="0"/>
        <outline val="0"/>
        <shadow val="0"/>
        <u val="none"/>
        <vertAlign val="baseline"/>
        <sz val="10"/>
        <name val="Arial Narrow"/>
        <scheme val="minor"/>
      </font>
      <numFmt numFmtId="173" formatCode="0000"/>
      <alignment horizontal="center" vertical="center" textRotation="0" wrapText="1" indent="0" justifyLastLine="0" shrinkToFit="0" readingOrder="0"/>
    </dxf>
    <dxf>
      <font>
        <strike val="0"/>
        <outline val="0"/>
        <shadow val="0"/>
        <u val="none"/>
        <vertAlign val="baseline"/>
        <sz val="10"/>
        <name val="Arial Narrow"/>
        <scheme val="minor"/>
      </font>
      <numFmt numFmtId="173" formatCode="0000"/>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bottom" textRotation="0" wrapText="1" indent="0" justifyLastLine="0" shrinkToFit="0" readingOrder="0"/>
    </dxf>
    <dxf>
      <fill>
        <patternFill>
          <bgColor rgb="FFFFFF00"/>
        </patternFill>
      </fill>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strike val="0"/>
        <color auto="1"/>
      </font>
      <fill>
        <patternFill patternType="none">
          <fgColor indexed="64"/>
          <bgColor auto="1"/>
        </patternFill>
      </fill>
      <border>
        <left style="thin">
          <color theme="8" tint="0.39994506668294322"/>
        </left>
        <right style="thin">
          <color theme="8" tint="0.39994506668294322"/>
        </right>
        <top/>
        <vertical/>
        <horizontal/>
      </border>
    </dxf>
    <dxf>
      <font>
        <color theme="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s>
  <tableStyles count="3" defaultTableStyle="TableStyleMedium2" defaultPivotStyle="PivotStyleLight16">
    <tableStyle name="Tabellenformat 2" pivot="0" count="0" xr9:uid="{61BCDA9C-6A9D-4F24-988E-0E0374AB5D7B}"/>
    <tableStyle name="TableStyleMedium6 2" pivot="0" count="7" xr9:uid="{B88D6C6B-631D-4C66-9C6C-B9519649ECCD}">
      <tableStyleElement type="wholeTable" dxfId="1404"/>
      <tableStyleElement type="headerRow" dxfId="1403"/>
      <tableStyleElement type="totalRow" dxfId="1402"/>
      <tableStyleElement type="firstColumn" dxfId="1401"/>
      <tableStyleElement type="lastColumn" dxfId="1400"/>
      <tableStyleElement type="firstRowStripe" dxfId="1399"/>
      <tableStyleElement type="firstColumnStripe" dxfId="1398"/>
    </tableStyle>
    <tableStyle name="Tabellenformat 1" pivot="0" count="1" xr9:uid="{5FAECE8A-E6BF-44F9-9361-6347D918FD13}">
      <tableStyleElement type="wholeTable" dxfId="1397"/>
    </tableStyle>
  </tableStyles>
  <colors>
    <indexedColors>
      <rgbColor rgb="00000000"/>
      <rgbColor rgb="00FFFFFF"/>
      <rgbColor rgb="00FF0000"/>
      <rgbColor rgb="0000FF00"/>
      <rgbColor rgb="000000FF"/>
      <rgbColor rgb="00FFFF00"/>
      <rgbColor rgb="00FF00FF"/>
      <rgbColor rgb="0000FFFF"/>
      <rgbColor rgb="00FFFF9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448E5B"/>
      <color rgb="FF3A3184"/>
      <color rgb="FF000000"/>
      <color rgb="FFFF9900"/>
      <color rgb="FFFF0066"/>
      <color rgb="FFF8F0F5"/>
      <color rgb="FFFDFCC0"/>
      <color rgb="FFCF4559"/>
      <color rgb="FFD4F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hartsheet" Target="chartsheets/sheet2.xml"/><Relationship Id="rId26" Type="http://schemas.openxmlformats.org/officeDocument/2006/relationships/worksheet" Target="worksheets/sheet24.xml"/><Relationship Id="rId39" Type="http://schemas.openxmlformats.org/officeDocument/2006/relationships/customXml" Target="../customXml/item4.xml"/><Relationship Id="rId21" Type="http://schemas.openxmlformats.org/officeDocument/2006/relationships/worksheet" Target="worksheets/sheet19.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1.xml"/><Relationship Id="rId25" Type="http://schemas.openxmlformats.org/officeDocument/2006/relationships/worksheet" Target="worksheets/sheet23.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8.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2.xml"/><Relationship Id="rId32" Type="http://schemas.openxmlformats.org/officeDocument/2006/relationships/sharedStrings" Target="sharedString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1.xml"/><Relationship Id="rId28" Type="http://schemas.openxmlformats.org/officeDocument/2006/relationships/worksheet" Target="worksheets/sheet26.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7.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connections" Target="connections.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barChart>
        <c:barDir val="col"/>
        <c:grouping val="stacked"/>
        <c:varyColors val="0"/>
        <c:ser>
          <c:idx val="1"/>
          <c:order val="0"/>
          <c:tx>
            <c:v>Leer</c:v>
          </c:tx>
          <c:spPr>
            <a:noFill/>
            <a:ln>
              <a:noFill/>
            </a:ln>
            <a:effectLst/>
          </c:spPr>
          <c:invertIfNegative val="0"/>
          <c:dLbls>
            <c:delete val="1"/>
          </c:dLbls>
          <c:val>
            <c:numRef>
              <c:f>Analysis!$F$3:$F$19</c:f>
              <c:numCache>
                <c:formatCode>0.00</c:formatCode>
                <c:ptCount val="17"/>
                <c:pt idx="0">
                  <c:v>0</c:v>
                </c:pt>
                <c:pt idx="1">
                  <c:v>0.43000520680000826</c:v>
                </c:pt>
                <c:pt idx="2">
                  <c:v>0.49787566857774201</c:v>
                </c:pt>
                <c:pt idx="3">
                  <c:v>0.94961557019811238</c:v>
                </c:pt>
                <c:pt idx="4">
                  <c:v>0.94961557019811238</c:v>
                </c:pt>
                <c:pt idx="5">
                  <c:v>0.94961557019811238</c:v>
                </c:pt>
                <c:pt idx="6">
                  <c:v>0.95843302128231622</c:v>
                </c:pt>
                <c:pt idx="7">
                  <c:v>0</c:v>
                </c:pt>
                <c:pt idx="8">
                  <c:v>1.0768530448745222</c:v>
                </c:pt>
                <c:pt idx="9">
                  <c:v>17.99611808434652</c:v>
                </c:pt>
                <c:pt idx="10">
                  <c:v>18.16531073474124</c:v>
                </c:pt>
                <c:pt idx="11">
                  <c:v>1.0768530448745222</c:v>
                </c:pt>
                <c:pt idx="12">
                  <c:v>0</c:v>
                </c:pt>
                <c:pt idx="13">
                  <c:v>18.238230950024565</c:v>
                </c:pt>
                <c:pt idx="14">
                  <c:v>20.061172299918603</c:v>
                </c:pt>
                <c:pt idx="15">
                  <c:v>21.140410337914343</c:v>
                </c:pt>
                <c:pt idx="16">
                  <c:v>0</c:v>
                </c:pt>
              </c:numCache>
            </c:numRef>
          </c:val>
          <c:extLst>
            <c:ext xmlns:c16="http://schemas.microsoft.com/office/drawing/2014/chart" uri="{C3380CC4-5D6E-409C-BE32-E72D297353CC}">
              <c16:uniqueId val="{00000001-9461-4C30-AE63-BBFBD72BC098}"/>
            </c:ext>
          </c:extLst>
        </c:ser>
        <c:ser>
          <c:idx val="0"/>
          <c:order val="1"/>
          <c:tx>
            <c:v>Daten</c:v>
          </c:tx>
          <c:spPr>
            <a:solidFill>
              <a:schemeClr val="accent6">
                <a:lumMod val="20000"/>
                <a:lumOff val="80000"/>
              </a:schemeClr>
            </a:solidFill>
            <a:ln>
              <a:noFill/>
            </a:ln>
            <a:effectLst/>
          </c:spPr>
          <c:invertIfNegative val="0"/>
          <c:dPt>
            <c:idx val="7"/>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9461-4C30-AE63-BBFBD72BC098}"/>
              </c:ext>
            </c:extLst>
          </c:dPt>
          <c:dPt>
            <c:idx val="1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8-9461-4C30-AE63-BBFBD72BC098}"/>
              </c:ext>
            </c:extLst>
          </c:dPt>
          <c:dPt>
            <c:idx val="12"/>
            <c:invertIfNegative val="0"/>
            <c:bubble3D val="0"/>
            <c:spPr>
              <a:solidFill>
                <a:schemeClr val="accent5"/>
              </a:solidFill>
              <a:ln>
                <a:noFill/>
              </a:ln>
              <a:effectLst/>
            </c:spPr>
            <c:extLst>
              <c:ext xmlns:c16="http://schemas.microsoft.com/office/drawing/2014/chart" uri="{C3380CC4-5D6E-409C-BE32-E72D297353CC}">
                <c16:uniqueId val="{00000005-9461-4C30-AE63-BBFBD72BC098}"/>
              </c:ext>
            </c:extLst>
          </c:dPt>
          <c:dPt>
            <c:idx val="16"/>
            <c:invertIfNegative val="0"/>
            <c:bubble3D val="0"/>
            <c:spPr>
              <a:solidFill>
                <a:srgbClr val="FFC000"/>
              </a:solidFill>
              <a:ln>
                <a:noFill/>
              </a:ln>
              <a:effectLst/>
            </c:spPr>
            <c:extLst>
              <c:ext xmlns:c16="http://schemas.microsoft.com/office/drawing/2014/chart" uri="{C3380CC4-5D6E-409C-BE32-E72D297353CC}">
                <c16:uniqueId val="{00000007-9461-4C30-AE63-BBFBD72BC098}"/>
              </c:ext>
            </c:extLst>
          </c:dPt>
          <c:dLbls>
            <c:delete val="1"/>
          </c:dLbls>
          <c:cat>
            <c:strRef>
              <c:f>Analysis!$E$3:$E$19</c:f>
              <c:strCache>
                <c:ptCount val="17"/>
                <c:pt idx="0">
                  <c:v>Machine cost</c:v>
                </c:pt>
                <c:pt idx="1">
                  <c:v>Set-up costs</c:v>
                </c:pt>
                <c:pt idx="2">
                  <c:v>Labour Costs</c:v>
                </c:pt>
                <c:pt idx="3">
                  <c:v>Tool costs</c:v>
                </c:pt>
                <c:pt idx="4">
                  <c:v>Wear tool costs</c:v>
                </c:pt>
                <c:pt idx="5">
                  <c:v>Scrap added value</c:v>
                </c:pt>
                <c:pt idx="6">
                  <c:v>Production overheads</c:v>
                </c:pt>
                <c:pt idx="7">
                  <c:v>Manufacturing costs</c:v>
                </c:pt>
                <c:pt idx="8">
                  <c:v>Direct material costs</c:v>
                </c:pt>
                <c:pt idx="9">
                  <c:v>Scrap material</c:v>
                </c:pt>
                <c:pt idx="10">
                  <c:v>Indirect material</c:v>
                </c:pt>
                <c:pt idx="11">
                  <c:v>Material costs</c:v>
                </c:pt>
                <c:pt idx="12">
                  <c:v>Production costs</c:v>
                </c:pt>
                <c:pt idx="13">
                  <c:v>SG&amp;A</c:v>
                </c:pt>
                <c:pt idx="14">
                  <c:v>Profit</c:v>
                </c:pt>
                <c:pt idx="15">
                  <c:v>Other</c:v>
                </c:pt>
                <c:pt idx="16">
                  <c:v>Price</c:v>
                </c:pt>
              </c:strCache>
            </c:strRef>
          </c:cat>
          <c:val>
            <c:numRef>
              <c:f>Analysis!$H$3:$H$19</c:f>
              <c:numCache>
                <c:formatCode>0.0000</c:formatCode>
                <c:ptCount val="17"/>
                <c:pt idx="0">
                  <c:v>0.43000520680000826</c:v>
                </c:pt>
                <c:pt idx="1">
                  <c:v>6.7870461777733745E-2</c:v>
                </c:pt>
                <c:pt idx="2">
                  <c:v>0.45173990162037037</c:v>
                </c:pt>
                <c:pt idx="3">
                  <c:v>0</c:v>
                </c:pt>
                <c:pt idx="4">
                  <c:v>0</c:v>
                </c:pt>
                <c:pt idx="5">
                  <c:v>8.8174510842037868E-3</c:v>
                </c:pt>
                <c:pt idx="6">
                  <c:v>0.11842002359220592</c:v>
                </c:pt>
                <c:pt idx="7">
                  <c:v>1.0768530448745222</c:v>
                </c:pt>
                <c:pt idx="8">
                  <c:v>16.919265039471998</c:v>
                </c:pt>
                <c:pt idx="9">
                  <c:v>0.16919265039472003</c:v>
                </c:pt>
                <c:pt idx="10">
                  <c:v>7.2920215283325707E-2</c:v>
                </c:pt>
                <c:pt idx="11">
                  <c:v>17.161377905150044</c:v>
                </c:pt>
                <c:pt idx="12">
                  <c:v>18.238230950024565</c:v>
                </c:pt>
                <c:pt idx="13">
                  <c:v>1.8229413498940366</c:v>
                </c:pt>
                <c:pt idx="14">
                  <c:v>1.0792380379957391</c:v>
                </c:pt>
                <c:pt idx="15">
                  <c:v>0</c:v>
                </c:pt>
                <c:pt idx="16">
                  <c:v>21.140410337914343</c:v>
                </c:pt>
              </c:numCache>
            </c:numRef>
          </c:val>
          <c:extLst>
            <c:ext xmlns:c16="http://schemas.microsoft.com/office/drawing/2014/chart" uri="{C3380CC4-5D6E-409C-BE32-E72D297353CC}">
              <c16:uniqueId val="{00000000-9461-4C30-AE63-BBFBD72BC098}"/>
            </c:ext>
          </c:extLst>
        </c:ser>
        <c:dLbls>
          <c:showLegendKey val="0"/>
          <c:showVal val="1"/>
          <c:showCatName val="0"/>
          <c:showSerName val="0"/>
          <c:showPercent val="0"/>
          <c:showBubbleSize val="0"/>
        </c:dLbls>
        <c:gapWidth val="50"/>
        <c:overlap val="100"/>
        <c:axId val="1367780032"/>
        <c:axId val="1367772128"/>
      </c:barChart>
      <c:lineChart>
        <c:grouping val="standard"/>
        <c:varyColors val="0"/>
        <c:ser>
          <c:idx val="2"/>
          <c:order val="2"/>
          <c:tx>
            <c:v>Summe</c:v>
          </c:tx>
          <c:spPr>
            <a:ln w="28575" cap="rnd">
              <a:noFill/>
              <a:round/>
            </a:ln>
            <a:effectLst/>
          </c:spPr>
          <c:marker>
            <c:symbol val="none"/>
          </c:marker>
          <c:dLbls>
            <c:dLbl>
              <c:idx val="0"/>
              <c:tx>
                <c:rich>
                  <a:bodyPr/>
                  <a:lstStyle/>
                  <a:p>
                    <a:fld id="{B0E395BF-4F70-4250-9D3B-57C82F958E23}" type="CELLRANGE">
                      <a:rPr lang="en-US"/>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9461-4C30-AE63-BBFBD72BC098}"/>
                </c:ext>
              </c:extLst>
            </c:dLbl>
            <c:dLbl>
              <c:idx val="1"/>
              <c:tx>
                <c:rich>
                  <a:bodyPr/>
                  <a:lstStyle/>
                  <a:p>
                    <a:fld id="{3D5865F5-F296-464B-9BA1-53FE4D36F6AF}"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461-4C30-AE63-BBFBD72BC098}"/>
                </c:ext>
              </c:extLst>
            </c:dLbl>
            <c:dLbl>
              <c:idx val="2"/>
              <c:tx>
                <c:rich>
                  <a:bodyPr/>
                  <a:lstStyle/>
                  <a:p>
                    <a:fld id="{6A6726C1-4F34-4881-82C9-F585BCFE5D7D}"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9461-4C30-AE63-BBFBD72BC098}"/>
                </c:ext>
              </c:extLst>
            </c:dLbl>
            <c:dLbl>
              <c:idx val="3"/>
              <c:tx>
                <c:rich>
                  <a:bodyPr/>
                  <a:lstStyle/>
                  <a:p>
                    <a:fld id="{41C60781-BBCE-4DBE-9222-9C6D5BCD6647}"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9461-4C30-AE63-BBFBD72BC098}"/>
                </c:ext>
              </c:extLst>
            </c:dLbl>
            <c:dLbl>
              <c:idx val="4"/>
              <c:tx>
                <c:rich>
                  <a:bodyPr/>
                  <a:lstStyle/>
                  <a:p>
                    <a:fld id="{B7F6A334-0AED-45C3-BF79-19CE614E4303}"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9461-4C30-AE63-BBFBD72BC098}"/>
                </c:ext>
              </c:extLst>
            </c:dLbl>
            <c:dLbl>
              <c:idx val="5"/>
              <c:tx>
                <c:rich>
                  <a:bodyPr/>
                  <a:lstStyle/>
                  <a:p>
                    <a:fld id="{69051638-13C4-42E2-BE62-1C8898107281}"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9461-4C30-AE63-BBFBD72BC098}"/>
                </c:ext>
              </c:extLst>
            </c:dLbl>
            <c:dLbl>
              <c:idx val="6"/>
              <c:tx>
                <c:rich>
                  <a:bodyPr/>
                  <a:lstStyle/>
                  <a:p>
                    <a:fld id="{389B5EF4-9C36-4D2A-866D-EB1044A2F429}"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9461-4C30-AE63-BBFBD72BC098}"/>
                </c:ext>
              </c:extLst>
            </c:dLbl>
            <c:dLbl>
              <c:idx val="7"/>
              <c:tx>
                <c:rich>
                  <a:bodyPr/>
                  <a:lstStyle/>
                  <a:p>
                    <a:fld id="{BF525DB4-7931-4546-B891-CB52FD6D9171}"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9461-4C30-AE63-BBFBD72BC098}"/>
                </c:ext>
              </c:extLst>
            </c:dLbl>
            <c:dLbl>
              <c:idx val="8"/>
              <c:tx>
                <c:rich>
                  <a:bodyPr/>
                  <a:lstStyle/>
                  <a:p>
                    <a:fld id="{A5D03B26-4737-4DA6-9C00-A6E49C8FA275}"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9461-4C30-AE63-BBFBD72BC098}"/>
                </c:ext>
              </c:extLst>
            </c:dLbl>
            <c:dLbl>
              <c:idx val="9"/>
              <c:tx>
                <c:rich>
                  <a:bodyPr/>
                  <a:lstStyle/>
                  <a:p>
                    <a:fld id="{6605F0F2-5685-479D-946F-11D8DBC7B3BC}"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9461-4C30-AE63-BBFBD72BC098}"/>
                </c:ext>
              </c:extLst>
            </c:dLbl>
            <c:dLbl>
              <c:idx val="10"/>
              <c:tx>
                <c:rich>
                  <a:bodyPr/>
                  <a:lstStyle/>
                  <a:p>
                    <a:fld id="{03FFD079-A249-42AF-AD72-0C37F51415F1}"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9461-4C30-AE63-BBFBD72BC098}"/>
                </c:ext>
              </c:extLst>
            </c:dLbl>
            <c:dLbl>
              <c:idx val="11"/>
              <c:tx>
                <c:rich>
                  <a:bodyPr/>
                  <a:lstStyle/>
                  <a:p>
                    <a:fld id="{33E9B39B-4358-467A-A771-82FC69BFCBF0}"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9461-4C30-AE63-BBFBD72BC098}"/>
                </c:ext>
              </c:extLst>
            </c:dLbl>
            <c:dLbl>
              <c:idx val="12"/>
              <c:tx>
                <c:rich>
                  <a:bodyPr/>
                  <a:lstStyle/>
                  <a:p>
                    <a:fld id="{89AE8DAC-4C51-4323-93A5-4BD25C730196}"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9461-4C30-AE63-BBFBD72BC098}"/>
                </c:ext>
              </c:extLst>
            </c:dLbl>
            <c:dLbl>
              <c:idx val="13"/>
              <c:tx>
                <c:rich>
                  <a:bodyPr/>
                  <a:lstStyle/>
                  <a:p>
                    <a:fld id="{27A89104-E10B-4E68-82C5-1110D9DBA6EC}"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9461-4C30-AE63-BBFBD72BC098}"/>
                </c:ext>
              </c:extLst>
            </c:dLbl>
            <c:dLbl>
              <c:idx val="14"/>
              <c:tx>
                <c:rich>
                  <a:bodyPr/>
                  <a:lstStyle/>
                  <a:p>
                    <a:fld id="{F671550E-0B94-4617-A581-41575AC144A6}"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9461-4C30-AE63-BBFBD72BC098}"/>
                </c:ext>
              </c:extLst>
            </c:dLbl>
            <c:dLbl>
              <c:idx val="15"/>
              <c:tx>
                <c:rich>
                  <a:bodyPr/>
                  <a:lstStyle/>
                  <a:p>
                    <a:fld id="{52592C2E-7225-45B3-AE8E-FB892F329260}"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461-4C30-AE63-BBFBD72BC098}"/>
                </c:ext>
              </c:extLst>
            </c:dLbl>
            <c:dLbl>
              <c:idx val="16"/>
              <c:tx>
                <c:rich>
                  <a:bodyPr/>
                  <a:lstStyle/>
                  <a:p>
                    <a:fld id="{A3C4DE82-AB17-4312-8C59-31B71E0894A4}" type="CELLRANGE">
                      <a:rPr lang="de-DE"/>
                      <a:pPr/>
                      <a:t>[ZELLBEREICH]</a:t>
                    </a:fld>
                    <a:endParaRPr lang="de-D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461-4C30-AE63-BBFBD72BC0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de-DE"/>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Analysis!$G$3:$G$19</c:f>
              <c:numCache>
                <c:formatCode>0.00</c:formatCode>
                <c:ptCount val="17"/>
                <c:pt idx="0">
                  <c:v>0.43000520680000826</c:v>
                </c:pt>
                <c:pt idx="1">
                  <c:v>0.49787566857774201</c:v>
                </c:pt>
                <c:pt idx="2">
                  <c:v>0.94961557019811238</c:v>
                </c:pt>
                <c:pt idx="3">
                  <c:v>0.94961557019811238</c:v>
                </c:pt>
                <c:pt idx="4">
                  <c:v>0.94961557019811238</c:v>
                </c:pt>
                <c:pt idx="5">
                  <c:v>0.95843302128231622</c:v>
                </c:pt>
                <c:pt idx="6">
                  <c:v>1.0768530448745222</c:v>
                </c:pt>
                <c:pt idx="7">
                  <c:v>1.0768530448745222</c:v>
                </c:pt>
                <c:pt idx="8">
                  <c:v>17.99611808434652</c:v>
                </c:pt>
                <c:pt idx="9">
                  <c:v>18.16531073474124</c:v>
                </c:pt>
                <c:pt idx="10">
                  <c:v>18.238230950024565</c:v>
                </c:pt>
                <c:pt idx="11">
                  <c:v>18.238230950024565</c:v>
                </c:pt>
                <c:pt idx="12">
                  <c:v>18.238230950024565</c:v>
                </c:pt>
                <c:pt idx="13">
                  <c:v>20.061172299918603</c:v>
                </c:pt>
                <c:pt idx="14">
                  <c:v>21.140410337914343</c:v>
                </c:pt>
                <c:pt idx="15">
                  <c:v>21.140410337914343</c:v>
                </c:pt>
                <c:pt idx="16">
                  <c:v>21.140410337914343</c:v>
                </c:pt>
              </c:numCache>
            </c:numRef>
          </c:val>
          <c:smooth val="0"/>
          <c:extLst>
            <c:ext xmlns:c15="http://schemas.microsoft.com/office/drawing/2012/chart" uri="{02D57815-91ED-43cb-92C2-25804820EDAC}">
              <c15:datalabelsRange>
                <c15:f>Analysis!$H$3:$H$19</c15:f>
                <c15:dlblRangeCache>
                  <c:ptCount val="17"/>
                  <c:pt idx="0">
                    <c:v>0,4300</c:v>
                  </c:pt>
                  <c:pt idx="1">
                    <c:v>0,0679</c:v>
                  </c:pt>
                  <c:pt idx="2">
                    <c:v>0,4517</c:v>
                  </c:pt>
                  <c:pt idx="3">
                    <c:v>0,0000</c:v>
                  </c:pt>
                  <c:pt idx="4">
                    <c:v>0,0000</c:v>
                  </c:pt>
                  <c:pt idx="5">
                    <c:v>0,0088</c:v>
                  </c:pt>
                  <c:pt idx="6">
                    <c:v>0,1184</c:v>
                  </c:pt>
                  <c:pt idx="7">
                    <c:v>1,0769</c:v>
                  </c:pt>
                  <c:pt idx="8">
                    <c:v>16,9193</c:v>
                  </c:pt>
                  <c:pt idx="9">
                    <c:v>0,1692</c:v>
                  </c:pt>
                  <c:pt idx="10">
                    <c:v>0,0729</c:v>
                  </c:pt>
                  <c:pt idx="11">
                    <c:v>17,1614</c:v>
                  </c:pt>
                  <c:pt idx="12">
                    <c:v>18,2382</c:v>
                  </c:pt>
                  <c:pt idx="13">
                    <c:v>1,8229</c:v>
                  </c:pt>
                  <c:pt idx="14">
                    <c:v>1,0792</c:v>
                  </c:pt>
                  <c:pt idx="15">
                    <c:v>0,0000</c:v>
                  </c:pt>
                  <c:pt idx="16">
                    <c:v>21,1404</c:v>
                  </c:pt>
                </c15:dlblRangeCache>
              </c15:datalabelsRange>
            </c:ext>
            <c:ext xmlns:c16="http://schemas.microsoft.com/office/drawing/2014/chart" uri="{C3380CC4-5D6E-409C-BE32-E72D297353CC}">
              <c16:uniqueId val="{00000006-9461-4C30-AE63-BBFBD72BC098}"/>
            </c:ext>
          </c:extLst>
        </c:ser>
        <c:dLbls>
          <c:showLegendKey val="0"/>
          <c:showVal val="0"/>
          <c:showCatName val="0"/>
          <c:showSerName val="0"/>
          <c:showPercent val="0"/>
          <c:showBubbleSize val="0"/>
        </c:dLbls>
        <c:marker val="1"/>
        <c:smooth val="0"/>
        <c:axId val="1367780032"/>
        <c:axId val="1367772128"/>
      </c:lineChart>
      <c:catAx>
        <c:axId val="136778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de-DE"/>
          </a:p>
        </c:txPr>
        <c:crossAx val="1367772128"/>
        <c:crosses val="autoZero"/>
        <c:auto val="1"/>
        <c:lblAlgn val="ctr"/>
        <c:lblOffset val="100"/>
        <c:noMultiLvlLbl val="0"/>
      </c:catAx>
      <c:valAx>
        <c:axId val="1367772128"/>
        <c:scaling>
          <c:orientation val="minMax"/>
        </c:scaling>
        <c:delete val="1"/>
        <c:axPos val="l"/>
        <c:numFmt formatCode="0.00" sourceLinked="1"/>
        <c:majorTickMark val="none"/>
        <c:minorTickMark val="none"/>
        <c:tickLblPos val="nextTo"/>
        <c:crossAx val="1367780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6"/>
          <c:tx>
            <c:v>Strom</c:v>
          </c:tx>
          <c:spPr>
            <a:noFill/>
            <a:ln>
              <a:noFill/>
            </a:ln>
            <a:effectLst/>
            <a:extLst>
              <a:ext uri="{909E8E84-426E-40DD-AFC4-6F175D3DCCD1}">
                <a14:hiddenFill xmlns:a14="http://schemas.microsoft.com/office/drawing/2010/main">
                  <a:solidFill>
                    <a:srgbClr val="94C356"/>
                  </a:solidFill>
                </a14:hiddenFill>
              </a:ext>
            </a:extLst>
          </c:spPr>
          <c:invertIfNegative val="0"/>
          <c:cat>
            <c:strLit>
              <c:ptCount val="40"/>
              <c:pt idx="0">
                <c:v>Strom</c:v>
              </c:pt>
              <c:pt idx="1">
                <c:v>Erdgas</c:v>
              </c:pt>
              <c:pt idx="2">
                <c:v>Maschinen</c:v>
              </c:pt>
              <c:pt idx="3">
                <c:v>Rüsten</c:v>
              </c:pt>
              <c:pt idx="4">
                <c:v>Lohnkosten</c:v>
              </c:pt>
              <c:pt idx="5">
                <c:v>Ausschuss Wertschöpfung</c:v>
              </c:pt>
              <c:pt idx="6">
                <c:v>FGK</c:v>
              </c:pt>
              <c:pt idx="7">
                <c:v>FK</c:v>
              </c:pt>
              <c:pt idx="8">
                <c:v>MEK</c:v>
              </c:pt>
              <c:pt idx="9">
                <c:v>Ausschuss Material</c:v>
              </c:pt>
              <c:pt idx="10">
                <c:v>MGK</c:v>
              </c:pt>
              <c:pt idx="11">
                <c:v>MK</c:v>
              </c:pt>
              <c:pt idx="12">
                <c:v>HK</c:v>
              </c:pt>
              <c:pt idx="13">
                <c:v>VVGK</c:v>
              </c:pt>
              <c:pt idx="14">
                <c:v>Gewinn</c:v>
              </c:pt>
              <c:pt idx="15">
                <c:v>Overhead</c:v>
              </c:pt>
              <c:pt idx="16">
                <c:v>Sonstige</c:v>
              </c:pt>
              <c:pt idx="17">
                <c:v>Preis</c:v>
              </c:pt>
            </c:strLit>
          </c:cat>
          <c:val>
            <c:numRef>
              <c:f>Temp!$M$4:$AW$4</c:f>
            </c:numRef>
          </c:val>
          <c:extLst>
            <c:ext xmlns:c16="http://schemas.microsoft.com/office/drawing/2014/chart" uri="{C3380CC4-5D6E-409C-BE32-E72D297353CC}">
              <c16:uniqueId val="{0000001A-C080-4318-8091-9FA78DBC5F5F}"/>
            </c:ext>
          </c:extLst>
        </c:ser>
        <c:ser>
          <c:idx val="1"/>
          <c:order val="7"/>
          <c:tx>
            <c:v>Erdgas</c:v>
          </c:tx>
          <c:spPr>
            <a:noFill/>
            <a:ln>
              <a:noFill/>
            </a:ln>
            <a:effectLst/>
            <a:extLst>
              <a:ext uri="{909E8E84-426E-40DD-AFC4-6F175D3DCCD1}">
                <a14:hiddenFill xmlns:a14="http://schemas.microsoft.com/office/drawing/2010/main">
                  <a:solidFill>
                    <a:srgbClr val="99CFB8"/>
                  </a:solidFill>
                </a14:hiddenFill>
              </a:ext>
            </a:extLst>
          </c:spPr>
          <c:invertIfNegative val="0"/>
          <c:val>
            <c:numRef>
              <c:f>Temp!$M$5:$AW$5</c:f>
            </c:numRef>
          </c:val>
          <c:extLst>
            <c:ext xmlns:c16="http://schemas.microsoft.com/office/drawing/2014/chart" uri="{C3380CC4-5D6E-409C-BE32-E72D297353CC}">
              <c16:uniqueId val="{0000001B-C080-4318-8091-9FA78DBC5F5F}"/>
            </c:ext>
          </c:extLst>
        </c:ser>
        <c:ser>
          <c:idx val="2"/>
          <c:order val="8"/>
          <c:tx>
            <c:v>Maschinen</c:v>
          </c:tx>
          <c:spPr>
            <a:noFill/>
            <a:ln>
              <a:noFill/>
            </a:ln>
            <a:effectLst/>
            <a:extLst>
              <a:ext uri="{909E8E84-426E-40DD-AFC4-6F175D3DCCD1}">
                <a14:hiddenFill xmlns:a14="http://schemas.microsoft.com/office/drawing/2010/main">
                  <a:solidFill>
                    <a:srgbClr val="0079B0"/>
                  </a:solidFill>
                </a14:hiddenFill>
              </a:ext>
            </a:extLst>
          </c:spPr>
          <c:invertIfNegative val="0"/>
          <c:val>
            <c:numRef>
              <c:f>Temp!$M$7:$AW$7</c:f>
            </c:numRef>
          </c:val>
          <c:extLst>
            <c:ext xmlns:c16="http://schemas.microsoft.com/office/drawing/2014/chart" uri="{C3380CC4-5D6E-409C-BE32-E72D297353CC}">
              <c16:uniqueId val="{0000001C-C080-4318-8091-9FA78DBC5F5F}"/>
            </c:ext>
          </c:extLst>
        </c:ser>
        <c:ser>
          <c:idx val="3"/>
          <c:order val="9"/>
          <c:tx>
            <c:v>Rüsten</c:v>
          </c:tx>
          <c:spPr>
            <a:noFill/>
            <a:ln>
              <a:noFill/>
            </a:ln>
            <a:effectLst/>
            <a:extLst>
              <a:ext uri="{909E8E84-426E-40DD-AFC4-6F175D3DCCD1}">
                <a14:hiddenFill xmlns:a14="http://schemas.microsoft.com/office/drawing/2010/main">
                  <a:solidFill>
                    <a:srgbClr val="004698"/>
                  </a:solidFill>
                </a14:hiddenFill>
              </a:ext>
            </a:extLst>
          </c:spPr>
          <c:invertIfNegative val="0"/>
          <c:val>
            <c:numRef>
              <c:f>Temp!$M$11:$AW$11</c:f>
            </c:numRef>
          </c:val>
          <c:extLst>
            <c:ext xmlns:c16="http://schemas.microsoft.com/office/drawing/2014/chart" uri="{C3380CC4-5D6E-409C-BE32-E72D297353CC}">
              <c16:uniqueId val="{0000001D-C080-4318-8091-9FA78DBC5F5F}"/>
            </c:ext>
          </c:extLst>
        </c:ser>
        <c:ser>
          <c:idx val="4"/>
          <c:order val="10"/>
          <c:tx>
            <c:v>Lohnkosten</c:v>
          </c:tx>
          <c:spPr>
            <a:noFill/>
            <a:ln>
              <a:noFill/>
            </a:ln>
            <a:effectLst/>
            <a:extLst>
              <a:ext uri="{909E8E84-426E-40DD-AFC4-6F175D3DCCD1}">
                <a14:hiddenFill xmlns:a14="http://schemas.microsoft.com/office/drawing/2010/main">
                  <a:solidFill>
                    <a:srgbClr val="002F63"/>
                  </a:solidFill>
                </a14:hiddenFill>
              </a:ext>
            </a:extLst>
          </c:spPr>
          <c:invertIfNegative val="0"/>
          <c:val>
            <c:numRef>
              <c:f>Temp!$M$12:$AW$12</c:f>
            </c:numRef>
          </c:val>
          <c:extLst>
            <c:ext xmlns:c16="http://schemas.microsoft.com/office/drawing/2014/chart" uri="{C3380CC4-5D6E-409C-BE32-E72D297353CC}">
              <c16:uniqueId val="{0000001E-C080-4318-8091-9FA78DBC5F5F}"/>
            </c:ext>
          </c:extLst>
        </c:ser>
        <c:ser>
          <c:idx val="5"/>
          <c:order val="11"/>
          <c:tx>
            <c:v>Ausschuss Wertschöpfung</c:v>
          </c:tx>
          <c:spPr>
            <a:noFill/>
            <a:ln>
              <a:noFill/>
            </a:ln>
            <a:effectLst/>
            <a:extLst>
              <a:ext uri="{909E8E84-426E-40DD-AFC4-6F175D3DCCD1}">
                <a14:hiddenFill xmlns:a14="http://schemas.microsoft.com/office/drawing/2010/main">
                  <a:solidFill>
                    <a:srgbClr val="3F4E55"/>
                  </a:solidFill>
                </a14:hiddenFill>
              </a:ext>
            </a:extLst>
          </c:spPr>
          <c:invertIfNegative val="0"/>
          <c:val>
            <c:numRef>
              <c:f>Temp!$M$18:$AW$18</c:f>
            </c:numRef>
          </c:val>
          <c:extLst>
            <c:ext xmlns:c16="http://schemas.microsoft.com/office/drawing/2014/chart" uri="{C3380CC4-5D6E-409C-BE32-E72D297353CC}">
              <c16:uniqueId val="{0000001F-C080-4318-8091-9FA78DBC5F5F}"/>
            </c:ext>
          </c:extLst>
        </c:ser>
        <c:ser>
          <c:idx val="6"/>
          <c:order val="12"/>
          <c:tx>
            <c:v>FGK</c:v>
          </c:tx>
          <c:spPr>
            <a:noFill/>
            <a:ln>
              <a:noFill/>
            </a:ln>
            <a:effectLst/>
            <a:extLst>
              <a:ext uri="{909E8E84-426E-40DD-AFC4-6F175D3DCCD1}">
                <a14:hiddenFill xmlns:a14="http://schemas.microsoft.com/office/drawing/2010/main">
                  <a:solidFill>
                    <a:srgbClr val="94C356">
                      <a:lumMod val="60000"/>
                    </a:srgbClr>
                  </a:solidFill>
                </a14:hiddenFill>
              </a:ext>
            </a:extLst>
          </c:spPr>
          <c:invertIfNegative val="0"/>
          <c:val>
            <c:numRef>
              <c:f>Temp!$M$19:$AW$19</c:f>
            </c:numRef>
          </c:val>
          <c:extLst>
            <c:ext xmlns:c16="http://schemas.microsoft.com/office/drawing/2014/chart" uri="{C3380CC4-5D6E-409C-BE32-E72D297353CC}">
              <c16:uniqueId val="{00000020-C080-4318-8091-9FA78DBC5F5F}"/>
            </c:ext>
          </c:extLst>
        </c:ser>
        <c:ser>
          <c:idx val="7"/>
          <c:order val="13"/>
          <c:tx>
            <c:v>FK</c:v>
          </c:tx>
          <c:spPr>
            <a:noFill/>
            <a:ln>
              <a:noFill/>
            </a:ln>
            <a:effectLst/>
            <a:extLst>
              <a:ext uri="{909E8E84-426E-40DD-AFC4-6F175D3DCCD1}">
                <a14:hiddenFill xmlns:a14="http://schemas.microsoft.com/office/drawing/2010/main">
                  <a:solidFill>
                    <a:srgbClr val="99CFB8">
                      <a:lumMod val="60000"/>
                    </a:srgbClr>
                  </a:solidFill>
                </a14:hiddenFill>
              </a:ext>
            </a:extLst>
          </c:spPr>
          <c:invertIfNegative val="0"/>
          <c:val>
            <c:numRef>
              <c:f>Temp!$M$21:$AW$21</c:f>
            </c:numRef>
          </c:val>
          <c:extLst>
            <c:ext xmlns:c16="http://schemas.microsoft.com/office/drawing/2014/chart" uri="{C3380CC4-5D6E-409C-BE32-E72D297353CC}">
              <c16:uniqueId val="{00000021-C080-4318-8091-9FA78DBC5F5F}"/>
            </c:ext>
          </c:extLst>
        </c:ser>
        <c:ser>
          <c:idx val="8"/>
          <c:order val="14"/>
          <c:tx>
            <c:v>MEK</c:v>
          </c:tx>
          <c:spPr>
            <a:noFill/>
            <a:ln>
              <a:noFill/>
            </a:ln>
            <a:effectLst/>
            <a:extLst>
              <a:ext uri="{909E8E84-426E-40DD-AFC4-6F175D3DCCD1}">
                <a14:hiddenFill xmlns:a14="http://schemas.microsoft.com/office/drawing/2010/main">
                  <a:solidFill>
                    <a:srgbClr val="0079B0">
                      <a:lumMod val="60000"/>
                    </a:srgbClr>
                  </a:solidFill>
                </a14:hiddenFill>
              </a:ext>
            </a:extLst>
          </c:spPr>
          <c:invertIfNegative val="0"/>
          <c:val>
            <c:numRef>
              <c:f>Temp!$M$22:$AW$22</c:f>
            </c:numRef>
          </c:val>
          <c:extLst>
            <c:ext xmlns:c16="http://schemas.microsoft.com/office/drawing/2014/chart" uri="{C3380CC4-5D6E-409C-BE32-E72D297353CC}">
              <c16:uniqueId val="{00000022-C080-4318-8091-9FA78DBC5F5F}"/>
            </c:ext>
          </c:extLst>
        </c:ser>
        <c:ser>
          <c:idx val="9"/>
          <c:order val="15"/>
          <c:tx>
            <c:v>MEK</c:v>
          </c:tx>
          <c:spPr>
            <a:noFill/>
            <a:ln>
              <a:noFill/>
            </a:ln>
            <a:effectLst/>
            <a:extLst>
              <a:ext uri="{909E8E84-426E-40DD-AFC4-6F175D3DCCD1}">
                <a14:hiddenFill xmlns:a14="http://schemas.microsoft.com/office/drawing/2010/main">
                  <a:solidFill>
                    <a:srgbClr val="004698">
                      <a:lumMod val="60000"/>
                    </a:srgbClr>
                  </a:solidFill>
                </a14:hiddenFill>
              </a:ext>
            </a:extLst>
          </c:spPr>
          <c:invertIfNegative val="0"/>
          <c:dPt>
            <c:idx val="8"/>
            <c:invertIfNegative val="0"/>
            <c:bubble3D val="0"/>
            <c:spPr>
              <a:solidFill>
                <a:srgbClr val="8398A3"/>
              </a:solidFill>
              <a:ln>
                <a:noFill/>
              </a:ln>
              <a:effectLst/>
            </c:spPr>
            <c:extLst>
              <c:ext xmlns:c16="http://schemas.microsoft.com/office/drawing/2014/chart" uri="{C3380CC4-5D6E-409C-BE32-E72D297353CC}">
                <c16:uniqueId val="{00000024-C080-4318-8091-9FA78DBC5F5F}"/>
              </c:ext>
            </c:extLst>
          </c:dPt>
          <c:dLbls>
            <c:dLbl>
              <c:idx val="8"/>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de-DE"/>
                </a:p>
              </c:txP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4-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Temp!$M$23:$AW$23</c:f>
            </c:numRef>
          </c:val>
          <c:extLst>
            <c:ext xmlns:c16="http://schemas.microsoft.com/office/drawing/2014/chart" uri="{C3380CC4-5D6E-409C-BE32-E72D297353CC}">
              <c16:uniqueId val="{00000023-C080-4318-8091-9FA78DBC5F5F}"/>
            </c:ext>
          </c:extLst>
        </c:ser>
        <c:ser>
          <c:idx val="10"/>
          <c:order val="16"/>
          <c:tx>
            <c:v>Ausschuss Material</c:v>
          </c:tx>
          <c:spPr>
            <a:noFill/>
            <a:ln>
              <a:noFill/>
            </a:ln>
            <a:effectLst/>
            <a:extLst>
              <a:ext uri="{909E8E84-426E-40DD-AFC4-6F175D3DCCD1}">
                <a14:hiddenFill xmlns:a14="http://schemas.microsoft.com/office/drawing/2010/main">
                  <a:solidFill>
                    <a:srgbClr val="002F63">
                      <a:lumMod val="60000"/>
                    </a:srgbClr>
                  </a:solidFill>
                </a14:hiddenFill>
              </a:ext>
            </a:extLst>
          </c:spPr>
          <c:invertIfNegative val="0"/>
          <c:dPt>
            <c:idx val="9"/>
            <c:invertIfNegative val="0"/>
            <c:bubble3D val="0"/>
            <c:spPr>
              <a:solidFill>
                <a:srgbClr val="D6DDE0"/>
              </a:solidFill>
              <a:ln>
                <a:noFill/>
              </a:ln>
              <a:effectLst/>
            </c:spPr>
            <c:extLst>
              <c:ext xmlns:c16="http://schemas.microsoft.com/office/drawing/2014/chart" uri="{C3380CC4-5D6E-409C-BE32-E72D297353CC}">
                <c16:uniqueId val="{00000026-C080-4318-8091-9FA78DBC5F5F}"/>
              </c:ext>
            </c:extLst>
          </c:dPt>
          <c:dLbls>
            <c:dLbl>
              <c:idx val="9"/>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Temp!$M$24:$AW$24</c:f>
            </c:numRef>
          </c:val>
          <c:extLst>
            <c:ext xmlns:c16="http://schemas.microsoft.com/office/drawing/2014/chart" uri="{C3380CC4-5D6E-409C-BE32-E72D297353CC}">
              <c16:uniqueId val="{00000025-C080-4318-8091-9FA78DBC5F5F}"/>
            </c:ext>
          </c:extLst>
        </c:ser>
        <c:ser>
          <c:idx val="11"/>
          <c:order val="17"/>
          <c:tx>
            <c:v>MGK</c:v>
          </c:tx>
          <c:spPr>
            <a:noFill/>
            <a:ln>
              <a:noFill/>
            </a:ln>
            <a:effectLst/>
            <a:extLst>
              <a:ext uri="{909E8E84-426E-40DD-AFC4-6F175D3DCCD1}">
                <a14:hiddenFill xmlns:a14="http://schemas.microsoft.com/office/drawing/2010/main">
                  <a:solidFill>
                    <a:srgbClr val="3F4E55">
                      <a:lumMod val="60000"/>
                    </a:srgbClr>
                  </a:solidFill>
                </a14:hiddenFill>
              </a:ext>
            </a:extLst>
          </c:spPr>
          <c:invertIfNegative val="0"/>
          <c:dPt>
            <c:idx val="10"/>
            <c:invertIfNegative val="0"/>
            <c:bubble3D val="0"/>
            <c:spPr>
              <a:solidFill>
                <a:srgbClr val="D6DDE0"/>
              </a:solidFill>
              <a:ln>
                <a:noFill/>
              </a:ln>
              <a:effectLst/>
            </c:spPr>
            <c:extLst>
              <c:ext xmlns:c16="http://schemas.microsoft.com/office/drawing/2014/chart" uri="{C3380CC4-5D6E-409C-BE32-E72D297353CC}">
                <c16:uniqueId val="{00000028-C080-4318-8091-9FA78DBC5F5F}"/>
              </c:ext>
            </c:extLst>
          </c:dPt>
          <c:dLbls>
            <c:dLbl>
              <c:idx val="1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Temp!$M$25:$AW$25</c:f>
            </c:numRef>
          </c:val>
          <c:extLst>
            <c:ext xmlns:c16="http://schemas.microsoft.com/office/drawing/2014/chart" uri="{C3380CC4-5D6E-409C-BE32-E72D297353CC}">
              <c16:uniqueId val="{00000027-C080-4318-8091-9FA78DBC5F5F}"/>
            </c:ext>
          </c:extLst>
        </c:ser>
        <c:ser>
          <c:idx val="12"/>
          <c:order val="18"/>
          <c:tx>
            <c:v>MK</c:v>
          </c:tx>
          <c:spPr>
            <a:noFill/>
            <a:ln>
              <a:noFill/>
            </a:ln>
            <a:effectLst/>
            <a:extLst>
              <a:ext uri="{909E8E84-426E-40DD-AFC4-6F175D3DCCD1}">
                <a14:hiddenFill xmlns:a14="http://schemas.microsoft.com/office/drawing/2010/main">
                  <a:solidFill>
                    <a:srgbClr val="94C356">
                      <a:lumMod val="80000"/>
                      <a:lumOff val="20000"/>
                    </a:srgbClr>
                  </a:solidFill>
                </a14:hiddenFill>
              </a:ext>
            </a:extLst>
          </c:spPr>
          <c:invertIfNegative val="0"/>
          <c:dPt>
            <c:idx val="11"/>
            <c:invertIfNegative val="0"/>
            <c:bubble3D val="0"/>
            <c:spPr>
              <a:solidFill>
                <a:srgbClr val="0060CA"/>
              </a:solidFill>
              <a:ln>
                <a:noFill/>
              </a:ln>
              <a:effectLst/>
            </c:spPr>
            <c:extLst>
              <c:ext xmlns:c16="http://schemas.microsoft.com/office/drawing/2014/chart" uri="{C3380CC4-5D6E-409C-BE32-E72D297353CC}">
                <c16:uniqueId val="{0000002A-C080-4318-8091-9FA78DBC5F5F}"/>
              </c:ext>
            </c:extLst>
          </c:dPt>
          <c:dLbls>
            <c:dLbl>
              <c:idx val="1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Temp!$M$27:$AW$27</c:f>
            </c:numRef>
          </c:val>
          <c:extLst>
            <c:ext xmlns:c16="http://schemas.microsoft.com/office/drawing/2014/chart" uri="{C3380CC4-5D6E-409C-BE32-E72D297353CC}">
              <c16:uniqueId val="{00000029-C080-4318-8091-9FA78DBC5F5F}"/>
            </c:ext>
          </c:extLst>
        </c:ser>
        <c:ser>
          <c:idx val="13"/>
          <c:order val="19"/>
          <c:tx>
            <c:v>HK</c:v>
          </c:tx>
          <c:spPr>
            <a:noFill/>
            <a:ln>
              <a:noFill/>
            </a:ln>
            <a:effectLst/>
            <a:extLst>
              <a:ext uri="{909E8E84-426E-40DD-AFC4-6F175D3DCCD1}">
                <a14:hiddenFill xmlns:a14="http://schemas.microsoft.com/office/drawing/2010/main">
                  <a:solidFill>
                    <a:srgbClr val="99CFB8">
                      <a:lumMod val="80000"/>
                      <a:lumOff val="20000"/>
                    </a:srgbClr>
                  </a:solidFill>
                </a14:hiddenFill>
              </a:ext>
            </a:extLst>
          </c:spPr>
          <c:invertIfNegative val="0"/>
          <c:dPt>
            <c:idx val="12"/>
            <c:invertIfNegative val="0"/>
            <c:bubble3D val="0"/>
            <c:spPr>
              <a:solidFill>
                <a:srgbClr val="002F63"/>
              </a:solidFill>
              <a:ln>
                <a:noFill/>
              </a:ln>
              <a:effectLst/>
            </c:spPr>
            <c:extLst>
              <c:ext xmlns:c16="http://schemas.microsoft.com/office/drawing/2014/chart" uri="{C3380CC4-5D6E-409C-BE32-E72D297353CC}">
                <c16:uniqueId val="{0000002C-C080-4318-8091-9FA78DBC5F5F}"/>
              </c:ext>
            </c:extLst>
          </c:dPt>
          <c:dLbls>
            <c:dLbl>
              <c:idx val="1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Temp!$M$29:$AW$29</c:f>
            </c:numRef>
          </c:val>
          <c:extLst>
            <c:ext xmlns:c16="http://schemas.microsoft.com/office/drawing/2014/chart" uri="{C3380CC4-5D6E-409C-BE32-E72D297353CC}">
              <c16:uniqueId val="{0000002B-C080-4318-8091-9FA78DBC5F5F}"/>
            </c:ext>
          </c:extLst>
        </c:ser>
        <c:ser>
          <c:idx val="14"/>
          <c:order val="20"/>
          <c:tx>
            <c:v>VVGK</c:v>
          </c:tx>
          <c:spPr>
            <a:noFill/>
            <a:ln>
              <a:noFill/>
            </a:ln>
            <a:effectLst/>
            <a:extLst>
              <a:ext uri="{909E8E84-426E-40DD-AFC4-6F175D3DCCD1}">
                <a14:hiddenFill xmlns:a14="http://schemas.microsoft.com/office/drawing/2010/main">
                  <a:solidFill>
                    <a:srgbClr val="0079B0">
                      <a:lumMod val="80000"/>
                      <a:lumOff val="20000"/>
                    </a:srgbClr>
                  </a:solidFill>
                </a14:hiddenFill>
              </a:ext>
            </a:extLst>
          </c:spPr>
          <c:invertIfNegative val="0"/>
          <c:dPt>
            <c:idx val="13"/>
            <c:invertIfNegative val="0"/>
            <c:bubble3D val="0"/>
            <c:spPr>
              <a:solidFill>
                <a:srgbClr val="D6DDE0"/>
              </a:solidFill>
              <a:ln>
                <a:noFill/>
              </a:ln>
              <a:effectLst/>
            </c:spPr>
            <c:extLst>
              <c:ext xmlns:c16="http://schemas.microsoft.com/office/drawing/2014/chart" uri="{C3380CC4-5D6E-409C-BE32-E72D297353CC}">
                <c16:uniqueId val="{0000002E-C080-4318-8091-9FA78DBC5F5F}"/>
              </c:ext>
            </c:extLst>
          </c:dPt>
          <c:dLbls>
            <c:dLbl>
              <c:idx val="13"/>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Temp!$M$32:$AW$32</c:f>
            </c:numRef>
          </c:val>
          <c:extLst>
            <c:ext xmlns:c16="http://schemas.microsoft.com/office/drawing/2014/chart" uri="{C3380CC4-5D6E-409C-BE32-E72D297353CC}">
              <c16:uniqueId val="{0000002D-C080-4318-8091-9FA78DBC5F5F}"/>
            </c:ext>
          </c:extLst>
        </c:ser>
        <c:ser>
          <c:idx val="15"/>
          <c:order val="21"/>
          <c:tx>
            <c:v>Gewinn</c:v>
          </c:tx>
          <c:spPr>
            <a:noFill/>
            <a:ln>
              <a:noFill/>
            </a:ln>
            <a:effectLst/>
            <a:extLst>
              <a:ext uri="{909E8E84-426E-40DD-AFC4-6F175D3DCCD1}">
                <a14:hiddenFill xmlns:a14="http://schemas.microsoft.com/office/drawing/2010/main">
                  <a:solidFill>
                    <a:srgbClr val="004698">
                      <a:lumMod val="80000"/>
                      <a:lumOff val="20000"/>
                    </a:srgbClr>
                  </a:solidFill>
                </a14:hiddenFill>
              </a:ext>
            </a:extLst>
          </c:spPr>
          <c:invertIfNegative val="0"/>
          <c:dPt>
            <c:idx val="14"/>
            <c:invertIfNegative val="0"/>
            <c:bubble3D val="0"/>
            <c:spPr>
              <a:solidFill>
                <a:srgbClr val="D6DDE0"/>
              </a:solidFill>
              <a:ln>
                <a:noFill/>
              </a:ln>
              <a:effectLst/>
            </c:spPr>
            <c:extLst>
              <c:ext xmlns:c16="http://schemas.microsoft.com/office/drawing/2014/chart" uri="{C3380CC4-5D6E-409C-BE32-E72D297353CC}">
                <c16:uniqueId val="{00000030-C080-4318-8091-9FA78DBC5F5F}"/>
              </c:ext>
            </c:extLst>
          </c:dPt>
          <c:dLbls>
            <c:dLbl>
              <c:idx val="14"/>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Temp!$M$35:$AW$35</c:f>
            </c:numRef>
          </c:val>
          <c:extLst>
            <c:ext xmlns:c16="http://schemas.microsoft.com/office/drawing/2014/chart" uri="{C3380CC4-5D6E-409C-BE32-E72D297353CC}">
              <c16:uniqueId val="{0000002F-C080-4318-8091-9FA78DBC5F5F}"/>
            </c:ext>
          </c:extLst>
        </c:ser>
        <c:ser>
          <c:idx val="16"/>
          <c:order val="22"/>
          <c:tx>
            <c:v>Overhead</c:v>
          </c:tx>
          <c:spPr>
            <a:noFill/>
            <a:ln>
              <a:noFill/>
            </a:ln>
            <a:effectLst/>
            <a:extLst>
              <a:ext uri="{909E8E84-426E-40DD-AFC4-6F175D3DCCD1}">
                <a14:hiddenFill xmlns:a14="http://schemas.microsoft.com/office/drawing/2010/main">
                  <a:solidFill>
                    <a:srgbClr val="002F63">
                      <a:lumMod val="80000"/>
                      <a:lumOff val="20000"/>
                    </a:srgbClr>
                  </a:solidFill>
                </a14:hiddenFill>
              </a:ext>
            </a:extLst>
          </c:spPr>
          <c:invertIfNegative val="0"/>
          <c:dPt>
            <c:idx val="15"/>
            <c:invertIfNegative val="0"/>
            <c:bubble3D val="0"/>
            <c:spPr>
              <a:solidFill>
                <a:srgbClr val="002F63"/>
              </a:solidFill>
              <a:ln>
                <a:noFill/>
              </a:ln>
              <a:effectLst/>
            </c:spPr>
            <c:extLst>
              <c:ext xmlns:c16="http://schemas.microsoft.com/office/drawing/2014/chart" uri="{C3380CC4-5D6E-409C-BE32-E72D297353CC}">
                <c16:uniqueId val="{00000032-C080-4318-8091-9FA78DBC5F5F}"/>
              </c:ext>
            </c:extLst>
          </c:dPt>
          <c:dLbls>
            <c:dLbl>
              <c:idx val="15"/>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Temp!$M$37:$AW$37</c:f>
            </c:numRef>
          </c:val>
          <c:extLst>
            <c:ext xmlns:c16="http://schemas.microsoft.com/office/drawing/2014/chart" uri="{C3380CC4-5D6E-409C-BE32-E72D297353CC}">
              <c16:uniqueId val="{00000031-C080-4318-8091-9FA78DBC5F5F}"/>
            </c:ext>
          </c:extLst>
        </c:ser>
        <c:ser>
          <c:idx val="23"/>
          <c:order val="23"/>
          <c:tx>
            <c:v>Sonstige</c:v>
          </c:tx>
          <c:spPr>
            <a:noFill/>
            <a:ln>
              <a:noFill/>
            </a:ln>
            <a:effectLst/>
            <a:extLst>
              <a:ext uri="{909E8E84-426E-40DD-AFC4-6F175D3DCCD1}">
                <a14:hiddenFill xmlns:a14="http://schemas.microsoft.com/office/drawing/2010/main">
                  <a:solidFill>
                    <a:srgbClr val="3F4E55">
                      <a:lumMod val="80000"/>
                    </a:srgbClr>
                  </a:solidFill>
                </a14:hiddenFill>
              </a:ext>
            </a:extLst>
          </c:spPr>
          <c:invertIfNegative val="0"/>
          <c:val>
            <c:numRef>
              <c:f>Temp!$M$38:$AW$38</c:f>
            </c:numRef>
          </c:val>
          <c:extLst>
            <c:ext xmlns:c16="http://schemas.microsoft.com/office/drawing/2014/chart" uri="{C3380CC4-5D6E-409C-BE32-E72D297353CC}">
              <c16:uniqueId val="{00000033-C080-4318-8091-9FA78DBC5F5F}"/>
            </c:ext>
          </c:extLst>
        </c:ser>
        <c:ser>
          <c:idx val="24"/>
          <c:order val="24"/>
          <c:tx>
            <c:v>Spotlight</c:v>
          </c:tx>
          <c:spPr>
            <a:noFill/>
            <a:ln>
              <a:noFill/>
            </a:ln>
            <a:effectLst/>
            <a:extLst>
              <a:ext uri="{909E8E84-426E-40DD-AFC4-6F175D3DCCD1}">
                <a14:hiddenFill xmlns:a14="http://schemas.microsoft.com/office/drawing/2010/main">
                  <a:solidFill>
                    <a:srgbClr val="94C356">
                      <a:lumMod val="60000"/>
                      <a:lumOff val="40000"/>
                    </a:srgbClr>
                  </a:solidFill>
                </a14:hiddenFill>
              </a:ext>
            </a:extLst>
          </c:spPr>
          <c:invertIfNegative val="0"/>
          <c:val>
            <c:numRef>
              <c:f>Temp!$M$40:$AW$40</c:f>
            </c:numRef>
          </c:val>
          <c:extLst>
            <c:ext xmlns:c16="http://schemas.microsoft.com/office/drawing/2014/chart" uri="{C3380CC4-5D6E-409C-BE32-E72D297353CC}">
              <c16:uniqueId val="{00000034-C080-4318-8091-9FA78DBC5F5F}"/>
            </c:ext>
          </c:extLst>
        </c:ser>
        <c:ser>
          <c:idx val="25"/>
          <c:order val="25"/>
          <c:tx>
            <c:v>Preis</c:v>
          </c:tx>
          <c:spPr>
            <a:noFill/>
            <a:ln>
              <a:noFill/>
            </a:ln>
            <a:effectLst/>
            <a:extLst>
              <a:ext uri="{909E8E84-426E-40DD-AFC4-6F175D3DCCD1}">
                <a14:hiddenFill xmlns:a14="http://schemas.microsoft.com/office/drawing/2010/main">
                  <a:solidFill>
                    <a:srgbClr val="99CFB8">
                      <a:lumMod val="60000"/>
                      <a:lumOff val="40000"/>
                    </a:srgbClr>
                  </a:solidFill>
                </a14:hiddenFill>
              </a:ext>
            </a:extLst>
          </c:spPr>
          <c:invertIfNegative val="0"/>
          <c:dPt>
            <c:idx val="17"/>
            <c:invertIfNegative val="0"/>
            <c:bubble3D val="0"/>
            <c:spPr>
              <a:solidFill>
                <a:srgbClr val="FFC000"/>
              </a:solidFill>
              <a:ln>
                <a:noFill/>
              </a:ln>
              <a:effectLst/>
            </c:spPr>
            <c:extLst>
              <c:ext xmlns:c16="http://schemas.microsoft.com/office/drawing/2014/chart" uri="{C3380CC4-5D6E-409C-BE32-E72D297353CC}">
                <c16:uniqueId val="{00000036-C080-4318-8091-9FA78DBC5F5F}"/>
              </c:ext>
            </c:extLst>
          </c:dPt>
          <c:dLbls>
            <c:dLbl>
              <c:idx val="17"/>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Temp!$M$41:$AW$41</c:f>
            </c:numRef>
          </c:val>
          <c:extLst>
            <c:ext xmlns:c16="http://schemas.microsoft.com/office/drawing/2014/chart" uri="{C3380CC4-5D6E-409C-BE32-E72D297353CC}">
              <c16:uniqueId val="{00000035-C080-4318-8091-9FA78DBC5F5F}"/>
            </c:ext>
          </c:extLst>
        </c:ser>
        <c:ser>
          <c:idx val="26"/>
          <c:order val="26"/>
          <c:tx>
            <c:v>Summe</c:v>
          </c:tx>
          <c:spPr>
            <a:noFill/>
            <a:ln>
              <a:noFill/>
            </a:ln>
            <a:effectLst/>
            <a:extLst>
              <a:ext uri="{909E8E84-426E-40DD-AFC4-6F175D3DCCD1}">
                <a14:hiddenFill xmlns:a14="http://schemas.microsoft.com/office/drawing/2010/main">
                  <a:solidFill>
                    <a:srgbClr val="0079B0">
                      <a:lumMod val="60000"/>
                      <a:lumOff val="40000"/>
                    </a:srgbClr>
                  </a:solidFill>
                </a14:hiddenFill>
              </a:ext>
            </a:extLst>
          </c:spPr>
          <c:invertIfNegative val="0"/>
          <c:dLbls>
            <c:dLbl>
              <c:idx val="1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C080-4318-8091-9FA78DBC5F5F}"/>
                </c:ext>
              </c:extLst>
            </c:dLbl>
            <c:dLbl>
              <c:idx val="1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C080-4318-8091-9FA78DBC5F5F}"/>
                </c:ext>
              </c:extLst>
            </c:dLbl>
            <c:dLbl>
              <c:idx val="15"/>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C080-4318-8091-9FA78DBC5F5F}"/>
                </c:ext>
              </c:extLst>
            </c:dLbl>
            <c:dLbl>
              <c:idx val="17"/>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5.7226200896113504</c:v>
              </c:pt>
              <c:pt idx="12">
                <c:v>5.7226200896113504</c:v>
              </c:pt>
              <c:pt idx="13">
                <c:v>0</c:v>
              </c:pt>
              <c:pt idx="14">
                <c:v>0</c:v>
              </c:pt>
              <c:pt idx="15">
                <c:v>0.56287077560821397</c:v>
              </c:pt>
              <c:pt idx="16">
                <c:v>0</c:v>
              </c:pt>
              <c:pt idx="17">
                <c:v>6.2854908652195602</c:v>
              </c:pt>
            </c:numLit>
          </c:val>
          <c:extLst>
            <c:ext xmlns:c16="http://schemas.microsoft.com/office/drawing/2014/chart" uri="{C3380CC4-5D6E-409C-BE32-E72D297353CC}">
              <c16:uniqueId val="{00000037-C080-4318-8091-9FA78DBC5F5F}"/>
            </c:ext>
          </c:extLst>
        </c:ser>
        <c:ser>
          <c:idx val="17"/>
          <c:order val="0"/>
          <c:tx>
            <c:v>Machine Costs</c:v>
          </c:tx>
          <c:spPr>
            <a:noFill/>
            <a:ln>
              <a:noFill/>
            </a:ln>
            <a:effectLst/>
            <a:extLst>
              <a:ext uri="{909E8E84-426E-40DD-AFC4-6F175D3DCCD1}">
                <a14:hiddenFill xmlns:a14="http://schemas.microsoft.com/office/drawing/2010/main">
                  <a:solidFill>
                    <a:srgbClr val="3F4E55">
                      <a:lumMod val="80000"/>
                      <a:lumOff val="20000"/>
                    </a:srgbClr>
                  </a:solidFill>
                </a14:hiddenFill>
              </a:ext>
            </a:extLst>
          </c:spPr>
          <c:invertIfNegative val="0"/>
          <c:cat>
            <c:strLit>
              <c:ptCount val="31"/>
              <c:pt idx="0">
                <c:v>Machine Costs</c:v>
              </c:pt>
              <c:pt idx="1">
                <c:v>Lohnkosten</c:v>
              </c:pt>
              <c:pt idx="2">
                <c:v>Material Costs</c:v>
              </c:pt>
              <c:pt idx="3">
                <c:v>Production Costs</c:v>
              </c:pt>
              <c:pt idx="4">
                <c:v>Selling Price</c:v>
              </c:pt>
            </c:strLit>
          </c:cat>
          <c:val>
            <c:numRef>
              <c:f>Temp!$BE$12:$CF$12</c:f>
            </c:numRef>
          </c:val>
          <c:extLst>
            <c:ext xmlns:c16="http://schemas.microsoft.com/office/drawing/2014/chart" uri="{C3380CC4-5D6E-409C-BE32-E72D297353CC}">
              <c16:uniqueId val="{000002C4-6B3A-4A1F-B39C-59A587A40BDC}"/>
            </c:ext>
          </c:extLst>
        </c:ser>
        <c:ser>
          <c:idx val="18"/>
          <c:order val="1"/>
          <c:tx>
            <c:v>Lohnkosten</c:v>
          </c:tx>
          <c:spPr>
            <a:noFill/>
            <a:ln>
              <a:noFill/>
            </a:ln>
            <a:effectLst/>
            <a:extLst>
              <a:ext uri="{909E8E84-426E-40DD-AFC4-6F175D3DCCD1}">
                <a14:hiddenFill xmlns:a14="http://schemas.microsoft.com/office/drawing/2010/main">
                  <a:solidFill>
                    <a:srgbClr val="94C356">
                      <a:lumMod val="80000"/>
                    </a:srgbClr>
                  </a:solidFill>
                </a14:hiddenFill>
              </a:ext>
            </a:extLst>
          </c:spPr>
          <c:invertIfNegative val="0"/>
          <c:dPt>
            <c:idx val="1"/>
            <c:invertIfNegative val="0"/>
            <c:bubble3D val="0"/>
            <c:spPr>
              <a:solidFill>
                <a:srgbClr val="92D050"/>
              </a:solidFill>
              <a:ln>
                <a:noFill/>
              </a:ln>
              <a:effectLst/>
            </c:spPr>
            <c:extLst>
              <c:ext xmlns:c16="http://schemas.microsoft.com/office/drawing/2014/chart" uri="{C3380CC4-5D6E-409C-BE32-E72D297353CC}">
                <c16:uniqueId val="{000002C6-6B3A-4A1F-B39C-59A587A40BDC}"/>
              </c:ext>
            </c:extLst>
          </c:dPt>
          <c:dLbls>
            <c:dLbl>
              <c:idx val="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6-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Temp!$BE$18:$CF$18</c:f>
            </c:numRef>
          </c:val>
          <c:extLst>
            <c:ext xmlns:c16="http://schemas.microsoft.com/office/drawing/2014/chart" uri="{C3380CC4-5D6E-409C-BE32-E72D297353CC}">
              <c16:uniqueId val="{000002C5-6B3A-4A1F-B39C-59A587A40BDC}"/>
            </c:ext>
          </c:extLst>
        </c:ser>
        <c:ser>
          <c:idx val="19"/>
          <c:order val="2"/>
          <c:tx>
            <c:v>Material Costs</c:v>
          </c:tx>
          <c:spPr>
            <a:noFill/>
            <a:ln>
              <a:noFill/>
            </a:ln>
            <a:effectLst/>
            <a:extLst>
              <a:ext uri="{909E8E84-426E-40DD-AFC4-6F175D3DCCD1}">
                <a14:hiddenFill xmlns:a14="http://schemas.microsoft.com/office/drawing/2010/main">
                  <a:solidFill>
                    <a:srgbClr val="99CFB8">
                      <a:lumMod val="80000"/>
                    </a:srgbClr>
                  </a:solidFill>
                </a14:hiddenFill>
              </a:ext>
            </a:extLst>
          </c:spPr>
          <c:invertIfNegative val="0"/>
          <c:dPt>
            <c:idx val="2"/>
            <c:invertIfNegative val="0"/>
            <c:bubble3D val="0"/>
            <c:spPr>
              <a:solidFill>
                <a:srgbClr val="92D050"/>
              </a:solidFill>
              <a:ln>
                <a:noFill/>
              </a:ln>
              <a:effectLst/>
            </c:spPr>
            <c:extLst>
              <c:ext xmlns:c16="http://schemas.microsoft.com/office/drawing/2014/chart" uri="{C3380CC4-5D6E-409C-BE32-E72D297353CC}">
                <c16:uniqueId val="{000002C8-6B3A-4A1F-B39C-59A587A40BDC}"/>
              </c:ext>
            </c:extLst>
          </c:dPt>
          <c:dLbls>
            <c:dLbl>
              <c:idx val="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8-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Temp!$BE$24:$CF$24</c:f>
            </c:numRef>
          </c:val>
          <c:extLst>
            <c:ext xmlns:c16="http://schemas.microsoft.com/office/drawing/2014/chart" uri="{C3380CC4-5D6E-409C-BE32-E72D297353CC}">
              <c16:uniqueId val="{000002C7-6B3A-4A1F-B39C-59A587A40BDC}"/>
            </c:ext>
          </c:extLst>
        </c:ser>
        <c:ser>
          <c:idx val="20"/>
          <c:order val="3"/>
          <c:tx>
            <c:v>Production Costs</c:v>
          </c:tx>
          <c:spPr>
            <a:noFill/>
            <a:ln>
              <a:noFill/>
            </a:ln>
            <a:effectLst/>
            <a:extLst>
              <a:ext uri="{909E8E84-426E-40DD-AFC4-6F175D3DCCD1}">
                <a14:hiddenFill xmlns:a14="http://schemas.microsoft.com/office/drawing/2010/main">
                  <a:solidFill>
                    <a:srgbClr val="0079B0">
                      <a:lumMod val="80000"/>
                    </a:srgbClr>
                  </a:solidFill>
                </a14:hiddenFill>
              </a:ext>
            </a:extLst>
          </c:spPr>
          <c:invertIfNegative val="0"/>
          <c:dPt>
            <c:idx val="3"/>
            <c:invertIfNegative val="0"/>
            <c:bubble3D val="0"/>
            <c:spPr>
              <a:solidFill>
                <a:srgbClr val="92D050"/>
              </a:solidFill>
              <a:ln>
                <a:noFill/>
              </a:ln>
              <a:effectLst/>
            </c:spPr>
            <c:extLst>
              <c:ext xmlns:c16="http://schemas.microsoft.com/office/drawing/2014/chart" uri="{C3380CC4-5D6E-409C-BE32-E72D297353CC}">
                <c16:uniqueId val="{000002CA-6B3A-4A1F-B39C-59A587A40BDC}"/>
              </c:ext>
            </c:extLst>
          </c:dPt>
          <c:dLbls>
            <c:dLbl>
              <c:idx val="3"/>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A-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Temp!$BE$26:$CF$26</c:f>
            </c:numRef>
          </c:val>
          <c:extLst>
            <c:ext xmlns:c16="http://schemas.microsoft.com/office/drawing/2014/chart" uri="{C3380CC4-5D6E-409C-BE32-E72D297353CC}">
              <c16:uniqueId val="{000002C9-6B3A-4A1F-B39C-59A587A40BDC}"/>
            </c:ext>
          </c:extLst>
        </c:ser>
        <c:ser>
          <c:idx val="21"/>
          <c:order val="4"/>
          <c:tx>
            <c:v>Spotlight</c:v>
          </c:tx>
          <c:spPr>
            <a:noFill/>
            <a:ln>
              <a:noFill/>
            </a:ln>
            <a:effectLst/>
            <a:extLst>
              <a:ext uri="{909E8E84-426E-40DD-AFC4-6F175D3DCCD1}">
                <a14:hiddenFill xmlns:a14="http://schemas.microsoft.com/office/drawing/2010/main">
                  <a:solidFill>
                    <a:srgbClr val="004698">
                      <a:lumMod val="80000"/>
                    </a:srgbClr>
                  </a:solidFill>
                </a14:hiddenFill>
              </a:ext>
            </a:extLst>
          </c:spPr>
          <c:invertIfNegative val="0"/>
          <c:val>
            <c:numRef>
              <c:f>Temp!$BE$31:$CF$31</c:f>
            </c:numRef>
          </c:val>
          <c:extLst>
            <c:ext xmlns:c16="http://schemas.microsoft.com/office/drawing/2014/chart" uri="{C3380CC4-5D6E-409C-BE32-E72D297353CC}">
              <c16:uniqueId val="{000002CB-6B3A-4A1F-B39C-59A587A40BDC}"/>
            </c:ext>
          </c:extLst>
        </c:ser>
        <c:ser>
          <c:idx val="22"/>
          <c:order val="5"/>
          <c:tx>
            <c:v>Selling Price</c:v>
          </c:tx>
          <c:spPr>
            <a:noFill/>
            <a:ln>
              <a:noFill/>
            </a:ln>
            <a:effectLst/>
            <a:extLst>
              <a:ext uri="{909E8E84-426E-40DD-AFC4-6F175D3DCCD1}">
                <a14:hiddenFill xmlns:a14="http://schemas.microsoft.com/office/drawing/2010/main">
                  <a:solidFill>
                    <a:srgbClr val="002F63">
                      <a:lumMod val="80000"/>
                    </a:srgbClr>
                  </a:solidFill>
                </a14:hiddenFill>
              </a:ext>
            </a:extLst>
          </c:spPr>
          <c:invertIfNegative val="0"/>
          <c:dPt>
            <c:idx val="4"/>
            <c:invertIfNegative val="0"/>
            <c:bubble3D val="0"/>
            <c:spPr>
              <a:solidFill>
                <a:srgbClr val="448E5B"/>
              </a:solidFill>
              <a:ln>
                <a:noFill/>
              </a:ln>
              <a:effectLst/>
            </c:spPr>
            <c:extLst>
              <c:ext xmlns:c16="http://schemas.microsoft.com/office/drawing/2014/chart" uri="{C3380CC4-5D6E-409C-BE32-E72D297353CC}">
                <c16:uniqueId val="{000002CD-6B3A-4A1F-B39C-59A587A40BDC}"/>
              </c:ext>
            </c:extLst>
          </c:dPt>
          <c:dLbls>
            <c:dLbl>
              <c:idx val="4"/>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D-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Temp!$BE$32:$CF$32</c:f>
            </c:numRef>
          </c:val>
          <c:extLst>
            <c:ext xmlns:c16="http://schemas.microsoft.com/office/drawing/2014/chart" uri="{C3380CC4-5D6E-409C-BE32-E72D297353CC}">
              <c16:uniqueId val="{000002CC-6B3A-4A1F-B39C-59A587A40BDC}"/>
            </c:ext>
          </c:extLst>
        </c:ser>
        <c:dLbls>
          <c:showLegendKey val="0"/>
          <c:showVal val="0"/>
          <c:showCatName val="0"/>
          <c:showSerName val="0"/>
          <c:showPercent val="0"/>
          <c:showBubbleSize val="0"/>
        </c:dLbls>
        <c:gapWidth val="10"/>
        <c:overlap val="100"/>
        <c:axId val="1925543440"/>
        <c:axId val="1925629568"/>
      </c:barChart>
      <c:catAx>
        <c:axId val="192554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925629568"/>
        <c:crosses val="autoZero"/>
        <c:auto val="1"/>
        <c:lblAlgn val="ctr"/>
        <c:lblOffset val="100"/>
        <c:noMultiLvlLbl val="0"/>
      </c:catAx>
      <c:valAx>
        <c:axId val="1925629568"/>
        <c:scaling>
          <c:orientation val="minMax"/>
          <c:max val="7"/>
        </c:scaling>
        <c:delete val="0"/>
        <c:axPos val="l"/>
        <c:majorGridlines>
          <c:spPr>
            <a:ln w="12700" cap="flat" cmpd="sng" algn="ctr">
              <a:noFill/>
              <a:round/>
            </a:ln>
            <a:effectLst/>
          </c:spPr>
        </c:majorGridlines>
        <c:numFmt formatCode="General" sourceLinked="0"/>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de-DE"/>
          </a:p>
        </c:txPr>
        <c:crossAx val="1925543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c:style val="2"/>
  <c:chart>
    <c:autoTitleDeleted val="0"/>
    <c:plotArea>
      <c:layout/>
      <c:barChart>
        <c:barDir val="col"/>
        <c:grouping val="clustered"/>
        <c:varyColors val="0"/>
        <c:dLbls>
          <c:showLegendKey val="0"/>
          <c:showVal val="0"/>
          <c:showCatName val="0"/>
          <c:showSerName val="0"/>
          <c:showPercent val="0"/>
          <c:showBubbleSize val="0"/>
        </c:dLbls>
        <c:gapWidth val="150"/>
        <c:axId val="1"/>
        <c:axId val="2"/>
      </c:barChart>
      <c:catAx>
        <c:axId val="1"/>
        <c:scaling>
          <c:orientation val="minMax"/>
        </c:scaling>
        <c:delete val="0"/>
        <c:axPos val="b"/>
        <c:majorTickMark val="out"/>
        <c:minorTickMark val="none"/>
        <c:tickLblPos val="nextTo"/>
        <c:crossAx val="2"/>
        <c:crosses val="autoZero"/>
        <c:auto val="1"/>
        <c:lblAlgn val="ctr"/>
        <c:lblOffset val="100"/>
        <c:noMultiLvlLbl val="0"/>
      </c:catAx>
      <c:valAx>
        <c:axId val="2"/>
        <c:scaling>
          <c:orientation val="minMax"/>
        </c:scaling>
        <c:delete val="0"/>
        <c:axPos val="l"/>
        <c:majorGridlines/>
        <c:majorTickMark val="out"/>
        <c:minorTickMark val="none"/>
        <c:tickLblPos val="nextTo"/>
        <c:crossAx val="1"/>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series layoutId="waterfall" uniqueId="{09D33603-4F90-4E7C-ABFD-5E57848F0008}" formatIdx="0">
          <cx:tx>
            <cx:txData>
              <cx:f>_xlchart.v1.1</cx:f>
              <cx:v>Kosten</cx:v>
            </cx:txData>
          </cx:tx>
          <cx:dataLabels>
            <cx:numFmt formatCode="#.##0,00" sourceLinked="0"/>
            <cx:visibility seriesName="0" categoryName="0" value="1"/>
            <cx:separator>, </cx:separator>
          </cx:dataLabels>
          <cx:dataId val="0"/>
          <cx:layoutPr>
            <cx:visibility connectorLines="1"/>
            <cx:subtotals>
              <cx:idx val="5"/>
              <cx:idx val="21"/>
              <cx:idx val="22"/>
            </cx:subtotals>
          </cx:layoutPr>
        </cx:series>
      </cx:plotAreaRegion>
      <cx:axis id="0">
        <cx:catScaling gapWidth="1"/>
        <cx:tickLabels/>
      </cx:axis>
      <cx:axis id="1" hidden="1">
        <cx:valScaling/>
        <cx:majorGridlines>
          <cx:spPr>
            <a:ln>
              <a:noFill/>
            </a:ln>
          </cx:spPr>
        </cx:majorGridlines>
        <cx:tickLabels/>
      </cx:axis>
    </cx:plotArea>
  </cx:chart>
  <cx:spPr>
    <a:noFill/>
    <a:ln>
      <a:noFill/>
    </a:ln>
  </cx:spPr>
</cx: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9.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8395927-8C96-447D-8316-DFA5971552FF}">
  <sheetPr codeName="TabBarChart">
    <tabColor theme="7"/>
  </sheetPr>
  <sheetViews>
    <sheetView workbookViewId="0"/>
  </sheetViews>
  <pageMargins left="0.7" right="0.7" top="0.78740157499999996" bottom="0.78740157499999996"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AFB871E-792A-438E-81A4-1883805327A1}">
  <sheetPr codeName="TabWaterfallChart">
    <tabColor theme="7"/>
  </sheetPr>
  <sheetViews>
    <sheetView workbookViewId="0"/>
  </sheetViews>
  <pageMargins left="0.7" right="0.7" top="0.78740157499999996" bottom="0.78740157499999996"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image" Target="../media/image15.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image" Target="../media/image13.png"/><Relationship Id="rId24" Type="http://schemas.openxmlformats.org/officeDocument/2006/relationships/image" Target="../media/image26.sv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svg"/><Relationship Id="rId10" Type="http://schemas.openxmlformats.org/officeDocument/2006/relationships/image" Target="../media/image12.svg"/><Relationship Id="rId19" Type="http://schemas.openxmlformats.org/officeDocument/2006/relationships/image" Target="../media/image21.png"/><Relationship Id="rId4" Type="http://schemas.openxmlformats.org/officeDocument/2006/relationships/image" Target="../media/image6.svg"/><Relationship Id="rId9" Type="http://schemas.openxmlformats.org/officeDocument/2006/relationships/image" Target="../media/image11.png"/><Relationship Id="rId14" Type="http://schemas.openxmlformats.org/officeDocument/2006/relationships/image" Target="../media/image16.svg"/><Relationship Id="rId22" Type="http://schemas.openxmlformats.org/officeDocument/2006/relationships/image" Target="../media/image24.svg"/><Relationship Id="rId27" Type="http://schemas.openxmlformats.org/officeDocument/2006/relationships/image" Target="../media/image29.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microsoft.com/office/2014/relationships/chartEx" Target="../charts/chartEx1.xml"/></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1252180</xdr:colOff>
      <xdr:row>2</xdr:row>
      <xdr:rowOff>57150</xdr:rowOff>
    </xdr:from>
    <xdr:to>
      <xdr:col>3</xdr:col>
      <xdr:colOff>326448</xdr:colOff>
      <xdr:row>4</xdr:row>
      <xdr:rowOff>59205</xdr:rowOff>
    </xdr:to>
    <xdr:pic>
      <xdr:nvPicPr>
        <xdr:cNvPr id="3" name="Grafik 2">
          <a:extLst>
            <a:ext uri="{FF2B5EF4-FFF2-40B4-BE49-F238E27FC236}">
              <a16:creationId xmlns:a16="http://schemas.microsoft.com/office/drawing/2014/main" id="{C628AA7F-4F1E-4283-AF70-4DFE14F554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66480" y="171450"/>
          <a:ext cx="1714598" cy="3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171449</xdr:colOff>
      <xdr:row>1</xdr:row>
      <xdr:rowOff>114299</xdr:rowOff>
    </xdr:from>
    <xdr:to>
      <xdr:col>22</xdr:col>
      <xdr:colOff>523875</xdr:colOff>
      <xdr:row>36</xdr:row>
      <xdr:rowOff>76199</xdr:rowOff>
    </xdr:to>
    <xdr:graphicFrame macro="">
      <xdr:nvGraphicFramePr>
        <xdr:cNvPr id="2" name="Diagramm 1">
          <a:extLst>
            <a:ext uri="{FF2B5EF4-FFF2-40B4-BE49-F238E27FC236}">
              <a16:creationId xmlns:a16="http://schemas.microsoft.com/office/drawing/2014/main" id="{A93A3348-113C-41E9-94B3-E43F6CB29E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3" name="Grafik 2">
          <a:extLst>
            <a:ext uri="{FF2B5EF4-FFF2-40B4-BE49-F238E27FC236}">
              <a16:creationId xmlns:a16="http://schemas.microsoft.com/office/drawing/2014/main" id="{C6C29DB7-C44C-49DD-840F-432B713D8B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4940" cy="2744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3" name="Grafik 2">
          <a:extLst>
            <a:ext uri="{FF2B5EF4-FFF2-40B4-BE49-F238E27FC236}">
              <a16:creationId xmlns:a16="http://schemas.microsoft.com/office/drawing/2014/main" id="{2A57803F-E6CC-45FA-99E9-AB67AFC2A5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4940" cy="2744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3" name="Grafik 2">
          <a:extLst>
            <a:ext uri="{FF2B5EF4-FFF2-40B4-BE49-F238E27FC236}">
              <a16:creationId xmlns:a16="http://schemas.microsoft.com/office/drawing/2014/main" id="{21D658BC-8269-4238-A7C5-7F0F4BE718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4940" cy="2744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3" name="Grafik 2">
          <a:extLst>
            <a:ext uri="{FF2B5EF4-FFF2-40B4-BE49-F238E27FC236}">
              <a16:creationId xmlns:a16="http://schemas.microsoft.com/office/drawing/2014/main" id="{16F113ED-378D-4948-98BD-0CB3ABEDA6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4940" cy="2744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17</xdr:col>
      <xdr:colOff>663893</xdr:colOff>
      <xdr:row>1</xdr:row>
      <xdr:rowOff>22858</xdr:rowOff>
    </xdr:from>
    <xdr:to>
      <xdr:col>23</xdr:col>
      <xdr:colOff>192405</xdr:colOff>
      <xdr:row>43</xdr:row>
      <xdr:rowOff>131721</xdr:rowOff>
    </xdr:to>
    <xdr:grpSp>
      <xdr:nvGrpSpPr>
        <xdr:cNvPr id="3" name="Gruppieren 2">
          <a:extLst>
            <a:ext uri="{FF2B5EF4-FFF2-40B4-BE49-F238E27FC236}">
              <a16:creationId xmlns:a16="http://schemas.microsoft.com/office/drawing/2014/main" id="{F4FE0C11-947E-4D63-BEC4-C59E38F3607E}"/>
            </a:ext>
          </a:extLst>
        </xdr:cNvPr>
        <xdr:cNvGrpSpPr/>
      </xdr:nvGrpSpPr>
      <xdr:grpSpPr>
        <a:xfrm>
          <a:off x="13903643" y="184783"/>
          <a:ext cx="3605212" cy="6804938"/>
          <a:chOff x="13901738" y="190498"/>
          <a:chExt cx="3662362" cy="6810653"/>
        </a:xfrm>
      </xdr:grpSpPr>
      <xdr:grpSp>
        <xdr:nvGrpSpPr>
          <xdr:cNvPr id="173" name="Gruppieren 172">
            <a:extLst>
              <a:ext uri="{FF2B5EF4-FFF2-40B4-BE49-F238E27FC236}">
                <a16:creationId xmlns:a16="http://schemas.microsoft.com/office/drawing/2014/main" id="{DA2E32E8-C3CE-4806-A482-1AD54BEF5F31}"/>
              </a:ext>
            </a:extLst>
          </xdr:cNvPr>
          <xdr:cNvGrpSpPr>
            <a:grpSpLocks noChangeAspect="1"/>
          </xdr:cNvGrpSpPr>
        </xdr:nvGrpSpPr>
        <xdr:grpSpPr>
          <a:xfrm>
            <a:off x="14049377" y="190498"/>
            <a:ext cx="1432117" cy="1648101"/>
            <a:chOff x="12001502" y="180973"/>
            <a:chExt cx="1770996" cy="2038088"/>
          </a:xfrm>
        </xdr:grpSpPr>
        <xdr:grpSp>
          <xdr:nvGrpSpPr>
            <xdr:cNvPr id="59" name="Gruppieren 58">
              <a:extLst>
                <a:ext uri="{FF2B5EF4-FFF2-40B4-BE49-F238E27FC236}">
                  <a16:creationId xmlns:a16="http://schemas.microsoft.com/office/drawing/2014/main" id="{123F99B4-C349-4E4F-9BA8-CED07BE76457}"/>
                </a:ext>
              </a:extLst>
            </xdr:cNvPr>
            <xdr:cNvGrpSpPr/>
          </xdr:nvGrpSpPr>
          <xdr:grpSpPr>
            <a:xfrm>
              <a:off x="12001502" y="180973"/>
              <a:ext cx="1770996" cy="1742850"/>
              <a:chOff x="12115802" y="247648"/>
              <a:chExt cx="1770996" cy="1800000"/>
            </a:xfrm>
          </xdr:grpSpPr>
          <xdr:grpSp>
            <xdr:nvGrpSpPr>
              <xdr:cNvPr id="42" name="Gruppieren 41">
                <a:extLst>
                  <a:ext uri="{FF2B5EF4-FFF2-40B4-BE49-F238E27FC236}">
                    <a16:creationId xmlns:a16="http://schemas.microsoft.com/office/drawing/2014/main" id="{9B77172A-FBB4-43FF-873A-2ECF7947DB1A}"/>
                  </a:ext>
                </a:extLst>
              </xdr:cNvPr>
              <xdr:cNvGrpSpPr>
                <a:grpSpLocks noChangeAspect="1"/>
              </xdr:cNvGrpSpPr>
            </xdr:nvGrpSpPr>
            <xdr:grpSpPr>
              <a:xfrm>
                <a:off x="12115802" y="247648"/>
                <a:ext cx="1770996" cy="1800000"/>
                <a:chOff x="14420848" y="2933698"/>
                <a:chExt cx="2352251" cy="2390775"/>
              </a:xfrm>
            </xdr:grpSpPr>
            <xdr:pic>
              <xdr:nvPicPr>
                <xdr:cNvPr id="43" name="Grafik 42" descr="Würfel Silhouette">
                  <a:extLst>
                    <a:ext uri="{FF2B5EF4-FFF2-40B4-BE49-F238E27FC236}">
                      <a16:creationId xmlns:a16="http://schemas.microsoft.com/office/drawing/2014/main" id="{D6BA1686-B2CD-4007-A828-AE805A8137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4420848" y="2933698"/>
                  <a:ext cx="2259896" cy="2390775"/>
                </a:xfrm>
                <a:prstGeom prst="rect">
                  <a:avLst/>
                </a:prstGeom>
              </xdr:spPr>
            </xdr:pic>
            <xdr:cxnSp macro="">
              <xdr:nvCxnSpPr>
                <xdr:cNvPr id="44" name="Gerade Verbindung mit Pfeil 43">
                  <a:extLst>
                    <a:ext uri="{FF2B5EF4-FFF2-40B4-BE49-F238E27FC236}">
                      <a16:creationId xmlns:a16="http://schemas.microsoft.com/office/drawing/2014/main" id="{574AB46B-B190-4141-82A1-D791743FE35B}"/>
                    </a:ext>
                  </a:extLst>
                </xdr:cNvPr>
                <xdr:cNvCxnSpPr/>
              </xdr:nvCxnSpPr>
              <xdr:spPr>
                <a:xfrm flipV="1">
                  <a:off x="15419403" y="4847037"/>
                  <a:ext cx="998558" cy="25782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45" name="Gerade Verbindung mit Pfeil 44">
                  <a:extLst>
                    <a:ext uri="{FF2B5EF4-FFF2-40B4-BE49-F238E27FC236}">
                      <a16:creationId xmlns:a16="http://schemas.microsoft.com/office/drawing/2014/main" id="{6481BC1D-6BBF-42DD-A120-F33FD9E25A3D}"/>
                    </a:ext>
                  </a:extLst>
                </xdr:cNvPr>
                <xdr:cNvCxnSpPr/>
              </xdr:nvCxnSpPr>
              <xdr:spPr>
                <a:xfrm flipH="1" flipV="1">
                  <a:off x="16491254" y="3577074"/>
                  <a:ext cx="2095" cy="1186862"/>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46" name="Gerade Verbindung mit Pfeil 45">
                  <a:extLst>
                    <a:ext uri="{FF2B5EF4-FFF2-40B4-BE49-F238E27FC236}">
                      <a16:creationId xmlns:a16="http://schemas.microsoft.com/office/drawing/2014/main" id="{57236CBA-E926-4B4B-B55F-15F061D48457}"/>
                    </a:ext>
                  </a:extLst>
                </xdr:cNvPr>
                <xdr:cNvCxnSpPr/>
              </xdr:nvCxnSpPr>
              <xdr:spPr>
                <a:xfrm>
                  <a:off x="14631068" y="4684200"/>
                  <a:ext cx="647137" cy="38571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47" name="Textfeld 46">
                  <a:extLst>
                    <a:ext uri="{FF2B5EF4-FFF2-40B4-BE49-F238E27FC236}">
                      <a16:creationId xmlns:a16="http://schemas.microsoft.com/office/drawing/2014/main" id="{AC36A243-506C-449C-AACC-17313E796F2C}"/>
                    </a:ext>
                  </a:extLst>
                </xdr:cNvPr>
                <xdr:cNvSpPr txBox="1"/>
              </xdr:nvSpPr>
              <xdr:spPr>
                <a:xfrm>
                  <a:off x="15953789" y="4943620"/>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48" name="Textfeld 47">
                  <a:extLst>
                    <a:ext uri="{FF2B5EF4-FFF2-40B4-BE49-F238E27FC236}">
                      <a16:creationId xmlns:a16="http://schemas.microsoft.com/office/drawing/2014/main" id="{1261824F-BAEA-4ADB-A4A3-4B301EE2A82B}"/>
                    </a:ext>
                  </a:extLst>
                </xdr:cNvPr>
                <xdr:cNvSpPr txBox="1"/>
              </xdr:nvSpPr>
              <xdr:spPr>
                <a:xfrm>
                  <a:off x="16474299" y="3916210"/>
                  <a:ext cx="298800" cy="328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sp macro="" textlink="">
              <xdr:nvSpPr>
                <xdr:cNvPr id="49" name="Textfeld 48">
                  <a:extLst>
                    <a:ext uri="{FF2B5EF4-FFF2-40B4-BE49-F238E27FC236}">
                      <a16:creationId xmlns:a16="http://schemas.microsoft.com/office/drawing/2014/main" id="{AE0BDDF5-2CCF-478E-83F0-7C9673348A0C}"/>
                    </a:ext>
                  </a:extLst>
                </xdr:cNvPr>
                <xdr:cNvSpPr txBox="1"/>
              </xdr:nvSpPr>
              <xdr:spPr>
                <a:xfrm>
                  <a:off x="14701144" y="4860319"/>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grpSp>
          <xdr:pic>
            <xdr:nvPicPr>
              <xdr:cNvPr id="57" name="Grafik 56" descr="Marke 1 Silhouette">
                <a:extLst>
                  <a:ext uri="{FF2B5EF4-FFF2-40B4-BE49-F238E27FC236}">
                    <a16:creationId xmlns:a16="http://schemas.microsoft.com/office/drawing/2014/main" id="{75D5936C-2529-4390-BB8D-57DBC0ADD1A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44376" y="447673"/>
                <a:ext cx="400667" cy="413806"/>
              </a:xfrm>
              <a:prstGeom prst="rect">
                <a:avLst/>
              </a:prstGeom>
            </xdr:spPr>
          </xdr:pic>
        </xdr:grpSp>
        <xdr:sp macro="" textlink="">
          <xdr:nvSpPr>
            <xdr:cNvPr id="168" name="Textfeld 167">
              <a:extLst>
                <a:ext uri="{FF2B5EF4-FFF2-40B4-BE49-F238E27FC236}">
                  <a16:creationId xmlns:a16="http://schemas.microsoft.com/office/drawing/2014/main" id="{9C98D31C-3027-4BD7-B4E4-B1DE49F26A3F}"/>
                </a:ext>
              </a:extLst>
            </xdr:cNvPr>
            <xdr:cNvSpPr txBox="1"/>
          </xdr:nvSpPr>
          <xdr:spPr>
            <a:xfrm>
              <a:off x="12433413" y="1885952"/>
              <a:ext cx="894661"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Quader</a:t>
              </a:r>
            </a:p>
          </xdr:txBody>
        </xdr:sp>
      </xdr:grpSp>
      <xdr:grpSp>
        <xdr:nvGrpSpPr>
          <xdr:cNvPr id="175" name="Gruppieren 174">
            <a:extLst>
              <a:ext uri="{FF2B5EF4-FFF2-40B4-BE49-F238E27FC236}">
                <a16:creationId xmlns:a16="http://schemas.microsoft.com/office/drawing/2014/main" id="{FFE334EC-7795-4012-B56C-9AA5D0F43894}"/>
              </a:ext>
            </a:extLst>
          </xdr:cNvPr>
          <xdr:cNvGrpSpPr>
            <a:grpSpLocks noChangeAspect="1"/>
          </xdr:cNvGrpSpPr>
        </xdr:nvGrpSpPr>
        <xdr:grpSpPr>
          <a:xfrm>
            <a:off x="14011277" y="1885949"/>
            <a:ext cx="1524891" cy="1667868"/>
            <a:chOff x="11991976" y="2238375"/>
            <a:chExt cx="1885723" cy="2062534"/>
          </a:xfrm>
        </xdr:grpSpPr>
        <xdr:grpSp>
          <xdr:nvGrpSpPr>
            <xdr:cNvPr id="91" name="Gruppieren 90">
              <a:extLst>
                <a:ext uri="{FF2B5EF4-FFF2-40B4-BE49-F238E27FC236}">
                  <a16:creationId xmlns:a16="http://schemas.microsoft.com/office/drawing/2014/main" id="{BECFC7FB-F00B-4E32-8230-F585D7475642}"/>
                </a:ext>
              </a:extLst>
            </xdr:cNvPr>
            <xdr:cNvGrpSpPr/>
          </xdr:nvGrpSpPr>
          <xdr:grpSpPr>
            <a:xfrm>
              <a:off x="11991976" y="2238375"/>
              <a:ext cx="1885723" cy="1885723"/>
              <a:chOff x="12058651" y="2143125"/>
              <a:chExt cx="1885723" cy="1885723"/>
            </a:xfrm>
          </xdr:grpSpPr>
          <xdr:grpSp>
            <xdr:nvGrpSpPr>
              <xdr:cNvPr id="61" name="Gruppieren 60">
                <a:extLst>
                  <a:ext uri="{FF2B5EF4-FFF2-40B4-BE49-F238E27FC236}">
                    <a16:creationId xmlns:a16="http://schemas.microsoft.com/office/drawing/2014/main" id="{040C0025-00E7-40E6-A498-A9A052CEA3AF}"/>
                  </a:ext>
                </a:extLst>
              </xdr:cNvPr>
              <xdr:cNvGrpSpPr/>
            </xdr:nvGrpSpPr>
            <xdr:grpSpPr>
              <a:xfrm>
                <a:off x="12058651" y="2143125"/>
                <a:ext cx="1885723" cy="1885723"/>
                <a:chOff x="12030076" y="161925"/>
                <a:chExt cx="1885723" cy="1885723"/>
              </a:xfrm>
            </xdr:grpSpPr>
            <xdr:grpSp>
              <xdr:nvGrpSpPr>
                <xdr:cNvPr id="62" name="Gruppieren 61">
                  <a:extLst>
                    <a:ext uri="{FF2B5EF4-FFF2-40B4-BE49-F238E27FC236}">
                      <a16:creationId xmlns:a16="http://schemas.microsoft.com/office/drawing/2014/main" id="{E1FCD7E6-BD87-4330-9CBD-7F6CCD6692DC}"/>
                    </a:ext>
                  </a:extLst>
                </xdr:cNvPr>
                <xdr:cNvGrpSpPr>
                  <a:grpSpLocks noChangeAspect="1"/>
                </xdr:cNvGrpSpPr>
              </xdr:nvGrpSpPr>
              <xdr:grpSpPr>
                <a:xfrm>
                  <a:off x="12030076" y="161925"/>
                  <a:ext cx="1885723" cy="1885723"/>
                  <a:chOff x="14306990" y="2819840"/>
                  <a:chExt cx="2504633" cy="2504633"/>
                </a:xfrm>
              </xdr:grpSpPr>
              <xdr:pic>
                <xdr:nvPicPr>
                  <xdr:cNvPr id="64" name="Grafik 63" descr="Zylinder Silhouette">
                    <a:extLst>
                      <a:ext uri="{FF2B5EF4-FFF2-40B4-BE49-F238E27FC236}">
                        <a16:creationId xmlns:a16="http://schemas.microsoft.com/office/drawing/2014/main" id="{8C1751D6-693C-4C51-B5AB-F8B1FC1D4A3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4306990" y="2819840"/>
                    <a:ext cx="2504633" cy="2504633"/>
                  </a:xfrm>
                  <a:prstGeom prst="rect">
                    <a:avLst/>
                  </a:prstGeom>
                </xdr:spPr>
              </xdr:pic>
              <xdr:cxnSp macro="">
                <xdr:nvCxnSpPr>
                  <xdr:cNvPr id="66" name="Gerade Verbindung mit Pfeil 65">
                    <a:extLst>
                      <a:ext uri="{FF2B5EF4-FFF2-40B4-BE49-F238E27FC236}">
                        <a16:creationId xmlns:a16="http://schemas.microsoft.com/office/drawing/2014/main" id="{AE4954D8-9D2D-4700-B6EB-DB4D402864DF}"/>
                      </a:ext>
                    </a:extLst>
                  </xdr:cNvPr>
                  <xdr:cNvCxnSpPr/>
                </xdr:nvCxnSpPr>
                <xdr:spPr>
                  <a:xfrm flipH="1" flipV="1">
                    <a:off x="16408616" y="3417925"/>
                    <a:ext cx="2097" cy="1338678"/>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69" name="Textfeld 68">
                    <a:extLst>
                      <a:ext uri="{FF2B5EF4-FFF2-40B4-BE49-F238E27FC236}">
                        <a16:creationId xmlns:a16="http://schemas.microsoft.com/office/drawing/2014/main" id="{651D4981-CF1E-4F55-93C8-2DD820FFF74B}"/>
                      </a:ext>
                    </a:extLst>
                  </xdr:cNvPr>
                  <xdr:cNvSpPr txBox="1"/>
                </xdr:nvSpPr>
                <xdr:spPr>
                  <a:xfrm>
                    <a:off x="16413970" y="3956488"/>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63" name="Grafik 62" descr="Marke 3 Silhouette">
                  <a:extLst>
                    <a:ext uri="{FF2B5EF4-FFF2-40B4-BE49-F238E27FC236}">
                      <a16:creationId xmlns:a16="http://schemas.microsoft.com/office/drawing/2014/main" id="{4F167B39-49E3-4965-88B0-AFE09E3FF4F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2144375" y="447675"/>
                  <a:ext cx="400667" cy="400668"/>
                </a:xfrm>
                <a:prstGeom prst="rect">
                  <a:avLst/>
                </a:prstGeom>
              </xdr:spPr>
            </xdr:pic>
          </xdr:grpSp>
          <xdr:sp macro="" textlink="">
            <xdr:nvSpPr>
              <xdr:cNvPr id="83" name="Textfeld 82">
                <a:extLst>
                  <a:ext uri="{FF2B5EF4-FFF2-40B4-BE49-F238E27FC236}">
                    <a16:creationId xmlns:a16="http://schemas.microsoft.com/office/drawing/2014/main" id="{66B1A333-6E0A-4132-AB7D-D784E4755B50}"/>
                  </a:ext>
                </a:extLst>
              </xdr:cNvPr>
              <xdr:cNvSpPr txBox="1"/>
            </xdr:nvSpPr>
            <xdr:spPr>
              <a:xfrm>
                <a:off x="12796673" y="3527298"/>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85" name="Gerade Verbindung mit Pfeil 84">
                <a:extLst>
                  <a:ext uri="{FF2B5EF4-FFF2-40B4-BE49-F238E27FC236}">
                    <a16:creationId xmlns:a16="http://schemas.microsoft.com/office/drawing/2014/main" id="{9B2CABBA-F9E6-4F54-BB23-97C50CD2C51E}"/>
                  </a:ext>
                </a:extLst>
              </xdr:cNvPr>
              <xdr:cNvCxnSpPr/>
            </xdr:nvCxnSpPr>
            <xdr:spPr>
              <a:xfrm flipV="1">
                <a:off x="12659372" y="3419476"/>
                <a:ext cx="647055" cy="25490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70" name="Textfeld 169">
              <a:extLst>
                <a:ext uri="{FF2B5EF4-FFF2-40B4-BE49-F238E27FC236}">
                  <a16:creationId xmlns:a16="http://schemas.microsoft.com/office/drawing/2014/main" id="{A9904279-5DE5-4EE8-97AE-8469C7B1440F}"/>
                </a:ext>
              </a:extLst>
            </xdr:cNvPr>
            <xdr:cNvSpPr txBox="1"/>
          </xdr:nvSpPr>
          <xdr:spPr>
            <a:xfrm>
              <a:off x="12412175" y="3967800"/>
              <a:ext cx="968640"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Zylinder</a:t>
              </a:r>
            </a:p>
          </xdr:txBody>
        </xdr:sp>
      </xdr:grpSp>
      <xdr:grpSp>
        <xdr:nvGrpSpPr>
          <xdr:cNvPr id="176" name="Gruppieren 175">
            <a:extLst>
              <a:ext uri="{FF2B5EF4-FFF2-40B4-BE49-F238E27FC236}">
                <a16:creationId xmlns:a16="http://schemas.microsoft.com/office/drawing/2014/main" id="{A9699B43-D73B-4B92-AD2E-A2AC2A556A0D}"/>
              </a:ext>
            </a:extLst>
          </xdr:cNvPr>
          <xdr:cNvGrpSpPr>
            <a:grpSpLocks noChangeAspect="1"/>
          </xdr:cNvGrpSpPr>
        </xdr:nvGrpSpPr>
        <xdr:grpSpPr>
          <a:xfrm>
            <a:off x="15862620" y="1876671"/>
            <a:ext cx="1523031" cy="1676885"/>
            <a:chOff x="14319570" y="2238621"/>
            <a:chExt cx="1883425" cy="2073684"/>
          </a:xfrm>
        </xdr:grpSpPr>
        <xdr:grpSp>
          <xdr:nvGrpSpPr>
            <xdr:cNvPr id="148" name="Gruppieren 147">
              <a:extLst>
                <a:ext uri="{FF2B5EF4-FFF2-40B4-BE49-F238E27FC236}">
                  <a16:creationId xmlns:a16="http://schemas.microsoft.com/office/drawing/2014/main" id="{88108BA5-2FA6-4A63-918D-826822B537F7}"/>
                </a:ext>
              </a:extLst>
            </xdr:cNvPr>
            <xdr:cNvGrpSpPr/>
          </xdr:nvGrpSpPr>
          <xdr:grpSpPr>
            <a:xfrm>
              <a:off x="14319570" y="2238621"/>
              <a:ext cx="1883425" cy="1883424"/>
              <a:chOff x="14310045" y="2181471"/>
              <a:chExt cx="1883425" cy="1883424"/>
            </a:xfrm>
          </xdr:grpSpPr>
          <xdr:pic>
            <xdr:nvPicPr>
              <xdr:cNvPr id="120" name="Grafik 119" descr="Zylinder Silhouette">
                <a:extLst>
                  <a:ext uri="{FF2B5EF4-FFF2-40B4-BE49-F238E27FC236}">
                    <a16:creationId xmlns:a16="http://schemas.microsoft.com/office/drawing/2014/main" id="{E9A55241-678E-4556-BD42-A67569F486D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3885" y="3146283"/>
                <a:ext cx="630000" cy="629983"/>
              </a:xfrm>
              <a:prstGeom prst="rect">
                <a:avLst/>
              </a:prstGeom>
            </xdr:spPr>
          </xdr:pic>
          <xdr:pic>
            <xdr:nvPicPr>
              <xdr:cNvPr id="121" name="Grafik 120" descr="Zylinder Silhouette">
                <a:extLst>
                  <a:ext uri="{FF2B5EF4-FFF2-40B4-BE49-F238E27FC236}">
                    <a16:creationId xmlns:a16="http://schemas.microsoft.com/office/drawing/2014/main" id="{5B7EB0E5-0C99-4368-8AA8-A8D24D54E29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4582" y="2823935"/>
                <a:ext cx="630000" cy="629984"/>
              </a:xfrm>
              <a:prstGeom prst="rect">
                <a:avLst/>
              </a:prstGeom>
            </xdr:spPr>
          </xdr:pic>
          <xdr:pic>
            <xdr:nvPicPr>
              <xdr:cNvPr id="122" name="Grafik 121" descr="Zylinder Silhouette">
                <a:extLst>
                  <a:ext uri="{FF2B5EF4-FFF2-40B4-BE49-F238E27FC236}">
                    <a16:creationId xmlns:a16="http://schemas.microsoft.com/office/drawing/2014/main" id="{3845B26E-F59D-4423-BB84-49310EAC7D4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5896" y="2501587"/>
                <a:ext cx="630000" cy="629984"/>
              </a:xfrm>
              <a:prstGeom prst="rect">
                <a:avLst/>
              </a:prstGeom>
            </xdr:spPr>
          </xdr:pic>
          <xdr:pic>
            <xdr:nvPicPr>
              <xdr:cNvPr id="98" name="Grafik 97" descr="Zylinder Silhouette">
                <a:extLst>
                  <a:ext uri="{FF2B5EF4-FFF2-40B4-BE49-F238E27FC236}">
                    <a16:creationId xmlns:a16="http://schemas.microsoft.com/office/drawing/2014/main" id="{2261C6A4-8E63-44D4-8AB7-2C4E47A6BD9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4310045" y="2181471"/>
                <a:ext cx="1883425" cy="1883424"/>
              </a:xfrm>
              <a:prstGeom prst="rect">
                <a:avLst/>
              </a:prstGeom>
            </xdr:spPr>
          </xdr:pic>
          <xdr:cxnSp macro="">
            <xdr:nvCxnSpPr>
              <xdr:cNvPr id="99" name="Gerade Verbindung mit Pfeil 98">
                <a:extLst>
                  <a:ext uri="{FF2B5EF4-FFF2-40B4-BE49-F238E27FC236}">
                    <a16:creationId xmlns:a16="http://schemas.microsoft.com/office/drawing/2014/main" id="{E7033476-32AB-4676-B368-8D9480E63256}"/>
                  </a:ext>
                </a:extLst>
              </xdr:cNvPr>
              <xdr:cNvCxnSpPr/>
            </xdr:nvCxnSpPr>
            <xdr:spPr>
              <a:xfrm flipH="1" flipV="1">
                <a:off x="15886582" y="2631461"/>
                <a:ext cx="1577" cy="100665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00" name="Textfeld 99">
                <a:extLst>
                  <a:ext uri="{FF2B5EF4-FFF2-40B4-BE49-F238E27FC236}">
                    <a16:creationId xmlns:a16="http://schemas.microsoft.com/office/drawing/2014/main" id="{CAAB7C7D-0642-4D87-9F30-05C9566FCD17}"/>
                  </a:ext>
                </a:extLst>
              </xdr:cNvPr>
              <xdr:cNvSpPr txBox="1"/>
            </xdr:nvSpPr>
            <xdr:spPr>
              <a:xfrm>
                <a:off x="15892481" y="3018534"/>
                <a:ext cx="224690" cy="2468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pic>
            <xdr:nvPicPr>
              <xdr:cNvPr id="97" name="Grafik 96" descr="Marke 4 Silhouette">
                <a:extLst>
                  <a:ext uri="{FF2B5EF4-FFF2-40B4-BE49-F238E27FC236}">
                    <a16:creationId xmlns:a16="http://schemas.microsoft.com/office/drawing/2014/main" id="{BDFC5BB4-DB39-4E5A-9AED-AC1899F1704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4442060" y="2481924"/>
                <a:ext cx="400668" cy="400668"/>
              </a:xfrm>
              <a:prstGeom prst="rect">
                <a:avLst/>
              </a:prstGeom>
            </xdr:spPr>
          </xdr:pic>
          <xdr:sp macro="" textlink="">
            <xdr:nvSpPr>
              <xdr:cNvPr id="94" name="Textfeld 93">
                <a:extLst>
                  <a:ext uri="{FF2B5EF4-FFF2-40B4-BE49-F238E27FC236}">
                    <a16:creationId xmlns:a16="http://schemas.microsoft.com/office/drawing/2014/main" id="{A904984E-B983-4C89-83A3-3CADEA3443F8}"/>
                  </a:ext>
                </a:extLst>
              </xdr:cNvPr>
              <xdr:cNvSpPr txBox="1"/>
            </xdr:nvSpPr>
            <xdr:spPr>
              <a:xfrm>
                <a:off x="15054422" y="3571938"/>
                <a:ext cx="970366" cy="2461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95" name="Gerade Verbindung mit Pfeil 94">
                <a:extLst>
                  <a:ext uri="{FF2B5EF4-FFF2-40B4-BE49-F238E27FC236}">
                    <a16:creationId xmlns:a16="http://schemas.microsoft.com/office/drawing/2014/main" id="{0485B8C9-E9A6-4080-A22B-4E3D06DFEEBD}"/>
                  </a:ext>
                </a:extLst>
              </xdr:cNvPr>
              <xdr:cNvCxnSpPr/>
            </xdr:nvCxnSpPr>
            <xdr:spPr>
              <a:xfrm flipV="1">
                <a:off x="14906447" y="3468026"/>
                <a:ext cx="667707" cy="25617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124" name="Gerade Verbindung mit Pfeil 123">
                <a:extLst>
                  <a:ext uri="{FF2B5EF4-FFF2-40B4-BE49-F238E27FC236}">
                    <a16:creationId xmlns:a16="http://schemas.microsoft.com/office/drawing/2014/main" id="{F31C072A-5D4C-426C-9AF6-C52AA092D7CC}"/>
                  </a:ext>
                </a:extLst>
              </xdr:cNvPr>
              <xdr:cNvCxnSpPr/>
            </xdr:nvCxnSpPr>
            <xdr:spPr>
              <a:xfrm flipV="1">
                <a:off x="15149025" y="2611683"/>
                <a:ext cx="241405" cy="8734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27" name="Textfeld 126">
                <a:extLst>
                  <a:ext uri="{FF2B5EF4-FFF2-40B4-BE49-F238E27FC236}">
                    <a16:creationId xmlns:a16="http://schemas.microsoft.com/office/drawing/2014/main" id="{E8DEF0A6-2757-4352-8B91-552FAC13E0E9}"/>
                  </a:ext>
                </a:extLst>
              </xdr:cNvPr>
              <xdr:cNvSpPr txBox="1"/>
            </xdr:nvSpPr>
            <xdr:spPr>
              <a:xfrm>
                <a:off x="14768025" y="2685250"/>
                <a:ext cx="970366" cy="2473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innen</a:t>
                </a:r>
              </a:p>
            </xdr:txBody>
          </xdr:sp>
        </xdr:grpSp>
        <xdr:sp macro="" textlink="">
          <xdr:nvSpPr>
            <xdr:cNvPr id="171" name="Textfeld 170">
              <a:extLst>
                <a:ext uri="{FF2B5EF4-FFF2-40B4-BE49-F238E27FC236}">
                  <a16:creationId xmlns:a16="http://schemas.microsoft.com/office/drawing/2014/main" id="{727A2A42-D058-4D7B-93E0-AD1071C0866E}"/>
                </a:ext>
              </a:extLst>
            </xdr:cNvPr>
            <xdr:cNvSpPr txBox="1"/>
          </xdr:nvSpPr>
          <xdr:spPr>
            <a:xfrm>
              <a:off x="14571023" y="3979196"/>
              <a:ext cx="1440386"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de-DE" sz="1200" b="1">
                  <a:solidFill>
                    <a:schemeClr val="accent5"/>
                  </a:solidFill>
                </a:rPr>
                <a:t>Hohlzylinder</a:t>
              </a:r>
            </a:p>
          </xdr:txBody>
        </xdr:sp>
      </xdr:grpSp>
      <xdr:sp macro="" textlink="">
        <xdr:nvSpPr>
          <xdr:cNvPr id="178" name="Textfeld 177">
            <a:extLst>
              <a:ext uri="{FF2B5EF4-FFF2-40B4-BE49-F238E27FC236}">
                <a16:creationId xmlns:a16="http://schemas.microsoft.com/office/drawing/2014/main" id="{88F3553F-DB73-4D5C-BB94-2218968895BF}"/>
              </a:ext>
            </a:extLst>
          </xdr:cNvPr>
          <xdr:cNvSpPr txBox="1"/>
        </xdr:nvSpPr>
        <xdr:spPr>
          <a:xfrm>
            <a:off x="15916275" y="6372225"/>
            <a:ext cx="1647825" cy="623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200" b="1">
                <a:solidFill>
                  <a:schemeClr val="accent5"/>
                </a:solidFill>
              </a:rPr>
              <a:t>z ist immer in Werkzeugöffnungs-</a:t>
            </a:r>
          </a:p>
          <a:p>
            <a:r>
              <a:rPr lang="de-DE" sz="1200" b="1">
                <a:solidFill>
                  <a:schemeClr val="accent5"/>
                </a:solidFill>
              </a:rPr>
              <a:t>richtung zu wählen</a:t>
            </a:r>
          </a:p>
        </xdr:txBody>
      </xdr:sp>
      <xdr:grpSp>
        <xdr:nvGrpSpPr>
          <xdr:cNvPr id="126" name="Gruppieren 125">
            <a:extLst>
              <a:ext uri="{FF2B5EF4-FFF2-40B4-BE49-F238E27FC236}">
                <a16:creationId xmlns:a16="http://schemas.microsoft.com/office/drawing/2014/main" id="{6E9C6223-07E8-433E-9323-0512038BD8CF}"/>
              </a:ext>
            </a:extLst>
          </xdr:cNvPr>
          <xdr:cNvGrpSpPr>
            <a:grpSpLocks noChangeAspect="1"/>
          </xdr:cNvGrpSpPr>
        </xdr:nvGrpSpPr>
        <xdr:grpSpPr>
          <a:xfrm>
            <a:off x="15973428" y="3791332"/>
            <a:ext cx="1342364" cy="1526794"/>
            <a:chOff x="12118478" y="4499232"/>
            <a:chExt cx="1720425" cy="1956799"/>
          </a:xfrm>
        </xdr:grpSpPr>
        <xdr:grpSp>
          <xdr:nvGrpSpPr>
            <xdr:cNvPr id="128" name="Gruppieren 127">
              <a:extLst>
                <a:ext uri="{FF2B5EF4-FFF2-40B4-BE49-F238E27FC236}">
                  <a16:creationId xmlns:a16="http://schemas.microsoft.com/office/drawing/2014/main" id="{41014EAD-200C-42DF-880E-DC7D3FD6FF39}"/>
                </a:ext>
              </a:extLst>
            </xdr:cNvPr>
            <xdr:cNvGrpSpPr/>
          </xdr:nvGrpSpPr>
          <xdr:grpSpPr>
            <a:xfrm>
              <a:off x="12118478" y="4499232"/>
              <a:ext cx="1720425" cy="1729198"/>
              <a:chOff x="12185153" y="2175132"/>
              <a:chExt cx="1720425" cy="1729198"/>
            </a:xfrm>
          </xdr:grpSpPr>
          <xdr:grpSp>
            <xdr:nvGrpSpPr>
              <xdr:cNvPr id="130" name="Gruppieren 129">
                <a:extLst>
                  <a:ext uri="{FF2B5EF4-FFF2-40B4-BE49-F238E27FC236}">
                    <a16:creationId xmlns:a16="http://schemas.microsoft.com/office/drawing/2014/main" id="{F0FF7305-D5D3-433F-8646-1DB80A30DAE8}"/>
                  </a:ext>
                </a:extLst>
              </xdr:cNvPr>
              <xdr:cNvGrpSpPr/>
            </xdr:nvGrpSpPr>
            <xdr:grpSpPr>
              <a:xfrm>
                <a:off x="12185153" y="2175132"/>
                <a:ext cx="1720425" cy="1729198"/>
                <a:chOff x="12156578" y="193932"/>
                <a:chExt cx="1720425" cy="1729198"/>
              </a:xfrm>
            </xdr:grpSpPr>
            <xdr:pic>
              <xdr:nvPicPr>
                <xdr:cNvPr id="133" name="Grafik 132" descr="Kugel Silhouette">
                  <a:extLst>
                    <a:ext uri="{FF2B5EF4-FFF2-40B4-BE49-F238E27FC236}">
                      <a16:creationId xmlns:a16="http://schemas.microsoft.com/office/drawing/2014/main" id="{741F5B75-20F9-466B-9E02-E74FF29F79C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2182472" y="228599"/>
                  <a:ext cx="1694531" cy="1694531"/>
                </a:xfrm>
                <a:prstGeom prst="rect">
                  <a:avLst/>
                </a:prstGeom>
              </xdr:spPr>
            </xdr:pic>
            <xdr:pic>
              <xdr:nvPicPr>
                <xdr:cNvPr id="138" name="Grafik 137" descr="Marke 6 Silhouette">
                  <a:extLst>
                    <a:ext uri="{FF2B5EF4-FFF2-40B4-BE49-F238E27FC236}">
                      <a16:creationId xmlns:a16="http://schemas.microsoft.com/office/drawing/2014/main" id="{7E7F17A5-5D30-4C12-A7EE-1CBE39C3CD3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2156578" y="193932"/>
                  <a:ext cx="415251" cy="415251"/>
                </a:xfrm>
                <a:prstGeom prst="rect">
                  <a:avLst/>
                </a:prstGeom>
              </xdr:spPr>
            </xdr:pic>
          </xdr:grpSp>
          <xdr:sp macro="" textlink="">
            <xdr:nvSpPr>
              <xdr:cNvPr id="131" name="Textfeld 130">
                <a:extLst>
                  <a:ext uri="{FF2B5EF4-FFF2-40B4-BE49-F238E27FC236}">
                    <a16:creationId xmlns:a16="http://schemas.microsoft.com/office/drawing/2014/main" id="{6D767B76-ECB6-4955-A0AA-3076B26BA457}"/>
                  </a:ext>
                </a:extLst>
              </xdr:cNvPr>
              <xdr:cNvSpPr txBox="1"/>
            </xdr:nvSpPr>
            <xdr:spPr>
              <a:xfrm>
                <a:off x="12749048" y="3089148"/>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132" name="Gerade Verbindung mit Pfeil 131">
                <a:extLst>
                  <a:ext uri="{FF2B5EF4-FFF2-40B4-BE49-F238E27FC236}">
                    <a16:creationId xmlns:a16="http://schemas.microsoft.com/office/drawing/2014/main" id="{BFEBB439-7B13-4168-BDC6-D72B5FEB87C5}"/>
                  </a:ext>
                </a:extLst>
              </xdr:cNvPr>
              <xdr:cNvCxnSpPr/>
            </xdr:nvCxnSpPr>
            <xdr:spPr>
              <a:xfrm flipV="1">
                <a:off x="12506325" y="2679725"/>
                <a:ext cx="1071182" cy="701650"/>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29" name="Textfeld 128">
              <a:extLst>
                <a:ext uri="{FF2B5EF4-FFF2-40B4-BE49-F238E27FC236}">
                  <a16:creationId xmlns:a16="http://schemas.microsoft.com/office/drawing/2014/main" id="{8C3974F2-EC22-4CB6-A250-D370C08C2112}"/>
                </a:ext>
              </a:extLst>
            </xdr:cNvPr>
            <xdr:cNvSpPr txBox="1"/>
          </xdr:nvSpPr>
          <xdr:spPr>
            <a:xfrm>
              <a:off x="12608717" y="6110797"/>
              <a:ext cx="784561" cy="345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Kugel</a:t>
              </a:r>
            </a:p>
          </xdr:txBody>
        </xdr:sp>
      </xdr:grpSp>
      <xdr:grpSp>
        <xdr:nvGrpSpPr>
          <xdr:cNvPr id="141" name="Gruppieren 140">
            <a:extLst>
              <a:ext uri="{FF2B5EF4-FFF2-40B4-BE49-F238E27FC236}">
                <a16:creationId xmlns:a16="http://schemas.microsoft.com/office/drawing/2014/main" id="{956C4F90-A1DE-451A-B303-7E7F775038C6}"/>
              </a:ext>
            </a:extLst>
          </xdr:cNvPr>
          <xdr:cNvGrpSpPr>
            <a:grpSpLocks noChangeAspect="1"/>
          </xdr:cNvGrpSpPr>
        </xdr:nvGrpSpPr>
        <xdr:grpSpPr>
          <a:xfrm>
            <a:off x="14039852" y="3695699"/>
            <a:ext cx="1472005" cy="1643931"/>
            <a:chOff x="12000240" y="2238375"/>
            <a:chExt cx="1820322" cy="2032931"/>
          </a:xfrm>
        </xdr:grpSpPr>
        <xdr:grpSp>
          <xdr:nvGrpSpPr>
            <xdr:cNvPr id="142" name="Gruppieren 141">
              <a:extLst>
                <a:ext uri="{FF2B5EF4-FFF2-40B4-BE49-F238E27FC236}">
                  <a16:creationId xmlns:a16="http://schemas.microsoft.com/office/drawing/2014/main" id="{FEF3C3AB-BCD6-4623-A07C-1101354F1042}"/>
                </a:ext>
              </a:extLst>
            </xdr:cNvPr>
            <xdr:cNvGrpSpPr/>
          </xdr:nvGrpSpPr>
          <xdr:grpSpPr>
            <a:xfrm>
              <a:off x="12000240" y="2238375"/>
              <a:ext cx="1820322" cy="1820322"/>
              <a:chOff x="12066915" y="2143125"/>
              <a:chExt cx="1820322" cy="1820322"/>
            </a:xfrm>
          </xdr:grpSpPr>
          <xdr:grpSp>
            <xdr:nvGrpSpPr>
              <xdr:cNvPr id="144" name="Gruppieren 143">
                <a:extLst>
                  <a:ext uri="{FF2B5EF4-FFF2-40B4-BE49-F238E27FC236}">
                    <a16:creationId xmlns:a16="http://schemas.microsoft.com/office/drawing/2014/main" id="{F40E7DF1-7723-486A-AEBA-C71A7A35DA32}"/>
                  </a:ext>
                </a:extLst>
              </xdr:cNvPr>
              <xdr:cNvGrpSpPr/>
            </xdr:nvGrpSpPr>
            <xdr:grpSpPr>
              <a:xfrm>
                <a:off x="12066915" y="2143125"/>
                <a:ext cx="1820322" cy="1820322"/>
                <a:chOff x="12038340" y="161925"/>
                <a:chExt cx="1820322" cy="1820322"/>
              </a:xfrm>
            </xdr:grpSpPr>
            <xdr:grpSp>
              <xdr:nvGrpSpPr>
                <xdr:cNvPr id="147" name="Gruppieren 146">
                  <a:extLst>
                    <a:ext uri="{FF2B5EF4-FFF2-40B4-BE49-F238E27FC236}">
                      <a16:creationId xmlns:a16="http://schemas.microsoft.com/office/drawing/2014/main" id="{81F31C6E-38EB-490C-A8A9-BEBD2E59C2AD}"/>
                    </a:ext>
                  </a:extLst>
                </xdr:cNvPr>
                <xdr:cNvGrpSpPr>
                  <a:grpSpLocks noChangeAspect="1"/>
                </xdr:cNvGrpSpPr>
              </xdr:nvGrpSpPr>
              <xdr:grpSpPr>
                <a:xfrm>
                  <a:off x="12038340" y="161925"/>
                  <a:ext cx="1820322" cy="1820322"/>
                  <a:chOff x="14317967" y="2819840"/>
                  <a:chExt cx="2417767" cy="2417767"/>
                </a:xfrm>
              </xdr:grpSpPr>
              <xdr:pic>
                <xdr:nvPicPr>
                  <xdr:cNvPr id="150" name="Grafik 149" descr="Kegel Silhouette">
                    <a:extLst>
                      <a:ext uri="{FF2B5EF4-FFF2-40B4-BE49-F238E27FC236}">
                        <a16:creationId xmlns:a16="http://schemas.microsoft.com/office/drawing/2014/main" id="{45A90F3B-D126-4377-9F20-E3D61829897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4317967" y="2819840"/>
                    <a:ext cx="2417767" cy="2417767"/>
                  </a:xfrm>
                  <a:prstGeom prst="rect">
                    <a:avLst/>
                  </a:prstGeom>
                </xdr:spPr>
              </xdr:pic>
              <xdr:cxnSp macro="">
                <xdr:nvCxnSpPr>
                  <xdr:cNvPr id="151" name="Gerade Verbindung mit Pfeil 150">
                    <a:extLst>
                      <a:ext uri="{FF2B5EF4-FFF2-40B4-BE49-F238E27FC236}">
                        <a16:creationId xmlns:a16="http://schemas.microsoft.com/office/drawing/2014/main" id="{2B23A335-3868-492F-8770-333D3874BE0F}"/>
                      </a:ext>
                    </a:extLst>
                  </xdr:cNvPr>
                  <xdr:cNvCxnSpPr/>
                </xdr:nvCxnSpPr>
                <xdr:spPr>
                  <a:xfrm flipH="1" flipV="1">
                    <a:off x="16373791" y="3037005"/>
                    <a:ext cx="0" cy="169081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52" name="Textfeld 151">
                    <a:extLst>
                      <a:ext uri="{FF2B5EF4-FFF2-40B4-BE49-F238E27FC236}">
                        <a16:creationId xmlns:a16="http://schemas.microsoft.com/office/drawing/2014/main" id="{742273B9-5F1C-46B1-ABB0-E889C3C562C0}"/>
                      </a:ext>
                    </a:extLst>
                  </xdr:cNvPr>
                  <xdr:cNvSpPr txBox="1"/>
                </xdr:nvSpPr>
                <xdr:spPr>
                  <a:xfrm>
                    <a:off x="16391976" y="3711706"/>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149" name="Grafik 148" descr="Marke 5 Silhouette">
                  <a:extLst>
                    <a:ext uri="{FF2B5EF4-FFF2-40B4-BE49-F238E27FC236}">
                      <a16:creationId xmlns:a16="http://schemas.microsoft.com/office/drawing/2014/main" id="{5CFEDF48-489A-45DD-90D8-1155BC139C83}"/>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2144375" y="305972"/>
                  <a:ext cx="400667" cy="400668"/>
                </a:xfrm>
                <a:prstGeom prst="rect">
                  <a:avLst/>
                </a:prstGeom>
              </xdr:spPr>
            </xdr:pic>
          </xdr:grpSp>
          <xdr:sp macro="" textlink="">
            <xdr:nvSpPr>
              <xdr:cNvPr id="145" name="Textfeld 144">
                <a:extLst>
                  <a:ext uri="{FF2B5EF4-FFF2-40B4-BE49-F238E27FC236}">
                    <a16:creationId xmlns:a16="http://schemas.microsoft.com/office/drawing/2014/main" id="{EE825B34-8909-4E6C-BCDD-C645E7B429DD}"/>
                  </a:ext>
                </a:extLst>
              </xdr:cNvPr>
              <xdr:cNvSpPr txBox="1"/>
            </xdr:nvSpPr>
            <xdr:spPr>
              <a:xfrm>
                <a:off x="12750436" y="3516397"/>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146" name="Gerade Verbindung mit Pfeil 145">
                <a:extLst>
                  <a:ext uri="{FF2B5EF4-FFF2-40B4-BE49-F238E27FC236}">
                    <a16:creationId xmlns:a16="http://schemas.microsoft.com/office/drawing/2014/main" id="{A9B055DD-0F04-4BE8-934C-77CC7F5F02B5}"/>
                  </a:ext>
                </a:extLst>
              </xdr:cNvPr>
              <xdr:cNvCxnSpPr/>
            </xdr:nvCxnSpPr>
            <xdr:spPr>
              <a:xfrm flipV="1">
                <a:off x="12561625" y="3375877"/>
                <a:ext cx="731265" cy="31028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43" name="Textfeld 142">
              <a:extLst>
                <a:ext uri="{FF2B5EF4-FFF2-40B4-BE49-F238E27FC236}">
                  <a16:creationId xmlns:a16="http://schemas.microsoft.com/office/drawing/2014/main" id="{974AD980-B9B0-4931-9B01-91DC6692719A}"/>
                </a:ext>
              </a:extLst>
            </xdr:cNvPr>
            <xdr:cNvSpPr txBox="1"/>
          </xdr:nvSpPr>
          <xdr:spPr>
            <a:xfrm>
              <a:off x="12549630" y="3938197"/>
              <a:ext cx="746620"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Kegel</a:t>
              </a:r>
            </a:p>
          </xdr:txBody>
        </xdr:sp>
      </xdr:grpSp>
      <xdr:grpSp>
        <xdr:nvGrpSpPr>
          <xdr:cNvPr id="10" name="Gruppieren 9">
            <a:extLst>
              <a:ext uri="{FF2B5EF4-FFF2-40B4-BE49-F238E27FC236}">
                <a16:creationId xmlns:a16="http://schemas.microsoft.com/office/drawing/2014/main" id="{88884707-8A96-48F9-B92B-CEAC741A6EE2}"/>
              </a:ext>
            </a:extLst>
          </xdr:cNvPr>
          <xdr:cNvGrpSpPr/>
        </xdr:nvGrpSpPr>
        <xdr:grpSpPr>
          <a:xfrm>
            <a:off x="15887702" y="238124"/>
            <a:ext cx="1422167" cy="1568241"/>
            <a:chOff x="13982703" y="3800475"/>
            <a:chExt cx="1547495" cy="1856926"/>
          </a:xfrm>
        </xdr:grpSpPr>
        <xdr:grpSp>
          <xdr:nvGrpSpPr>
            <xdr:cNvPr id="153" name="Gruppieren 152">
              <a:extLst>
                <a:ext uri="{FF2B5EF4-FFF2-40B4-BE49-F238E27FC236}">
                  <a16:creationId xmlns:a16="http://schemas.microsoft.com/office/drawing/2014/main" id="{3488EBB1-4465-4A86-9DF3-B66844B77884}"/>
                </a:ext>
              </a:extLst>
            </xdr:cNvPr>
            <xdr:cNvGrpSpPr>
              <a:grpSpLocks noChangeAspect="1"/>
            </xdr:cNvGrpSpPr>
          </xdr:nvGrpSpPr>
          <xdr:grpSpPr>
            <a:xfrm>
              <a:off x="13982703" y="3800475"/>
              <a:ext cx="1547495" cy="1856926"/>
              <a:chOff x="12035576" y="2238375"/>
              <a:chExt cx="1770909" cy="2125013"/>
            </a:xfrm>
          </xdr:grpSpPr>
          <xdr:grpSp>
            <xdr:nvGrpSpPr>
              <xdr:cNvPr id="154" name="Gruppieren 153">
                <a:extLst>
                  <a:ext uri="{FF2B5EF4-FFF2-40B4-BE49-F238E27FC236}">
                    <a16:creationId xmlns:a16="http://schemas.microsoft.com/office/drawing/2014/main" id="{0DB38F07-6A28-4196-B1B3-933F87EB2F21}"/>
                  </a:ext>
                </a:extLst>
              </xdr:cNvPr>
              <xdr:cNvGrpSpPr/>
            </xdr:nvGrpSpPr>
            <xdr:grpSpPr>
              <a:xfrm>
                <a:off x="12035576" y="2238375"/>
                <a:ext cx="1770909" cy="1820322"/>
                <a:chOff x="12102251" y="2143125"/>
                <a:chExt cx="1770909" cy="1820322"/>
              </a:xfrm>
            </xdr:grpSpPr>
            <xdr:grpSp>
              <xdr:nvGrpSpPr>
                <xdr:cNvPr id="156" name="Gruppieren 155">
                  <a:extLst>
                    <a:ext uri="{FF2B5EF4-FFF2-40B4-BE49-F238E27FC236}">
                      <a16:creationId xmlns:a16="http://schemas.microsoft.com/office/drawing/2014/main" id="{1B451CAE-CB0C-49B0-9D95-445A62C78E21}"/>
                    </a:ext>
                  </a:extLst>
                </xdr:cNvPr>
                <xdr:cNvGrpSpPr/>
              </xdr:nvGrpSpPr>
              <xdr:grpSpPr>
                <a:xfrm>
                  <a:off x="12102251" y="2143125"/>
                  <a:ext cx="1770909" cy="1820322"/>
                  <a:chOff x="12073676" y="161925"/>
                  <a:chExt cx="1770909" cy="1820322"/>
                </a:xfrm>
              </xdr:grpSpPr>
              <xdr:grpSp>
                <xdr:nvGrpSpPr>
                  <xdr:cNvPr id="159" name="Gruppieren 158">
                    <a:extLst>
                      <a:ext uri="{FF2B5EF4-FFF2-40B4-BE49-F238E27FC236}">
                        <a16:creationId xmlns:a16="http://schemas.microsoft.com/office/drawing/2014/main" id="{E3E317EC-826F-4A27-B66A-BDDF46203CE5}"/>
                      </a:ext>
                    </a:extLst>
                  </xdr:cNvPr>
                  <xdr:cNvGrpSpPr>
                    <a:grpSpLocks noChangeAspect="1"/>
                  </xdr:cNvGrpSpPr>
                </xdr:nvGrpSpPr>
                <xdr:grpSpPr>
                  <a:xfrm>
                    <a:off x="12073676" y="161925"/>
                    <a:ext cx="1770909" cy="1820322"/>
                    <a:chOff x="14364901" y="2819840"/>
                    <a:chExt cx="2352136" cy="2417767"/>
                  </a:xfrm>
                </xdr:grpSpPr>
                <xdr:pic>
                  <xdr:nvPicPr>
                    <xdr:cNvPr id="161" name="Grafik 160" descr="Pyramidenform Silhouette">
                      <a:extLst>
                        <a:ext uri="{FF2B5EF4-FFF2-40B4-BE49-F238E27FC236}">
                          <a16:creationId xmlns:a16="http://schemas.microsoft.com/office/drawing/2014/main" id="{1F56C10D-9CA1-47F4-8E3A-128D8C2FB026}"/>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4364901" y="2819840"/>
                      <a:ext cx="2220478" cy="2417767"/>
                    </a:xfrm>
                    <a:prstGeom prst="rect">
                      <a:avLst/>
                    </a:prstGeom>
                  </xdr:spPr>
                </xdr:pic>
                <xdr:cxnSp macro="">
                  <xdr:nvCxnSpPr>
                    <xdr:cNvPr id="162" name="Gerade Verbindung mit Pfeil 161">
                      <a:extLst>
                        <a:ext uri="{FF2B5EF4-FFF2-40B4-BE49-F238E27FC236}">
                          <a16:creationId xmlns:a16="http://schemas.microsoft.com/office/drawing/2014/main" id="{34E218A9-941B-4FAF-9FE6-D6804500D18B}"/>
                        </a:ext>
                      </a:extLst>
                    </xdr:cNvPr>
                    <xdr:cNvCxnSpPr/>
                  </xdr:nvCxnSpPr>
                  <xdr:spPr>
                    <a:xfrm flipH="1" flipV="1">
                      <a:off x="16439468" y="3036211"/>
                      <a:ext cx="0" cy="1690814"/>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63" name="Textfeld 162">
                      <a:extLst>
                        <a:ext uri="{FF2B5EF4-FFF2-40B4-BE49-F238E27FC236}">
                          <a16:creationId xmlns:a16="http://schemas.microsoft.com/office/drawing/2014/main" id="{38ED1B46-1A87-4954-B126-A005204BCF2B}"/>
                        </a:ext>
                      </a:extLst>
                    </xdr:cNvPr>
                    <xdr:cNvSpPr txBox="1"/>
                  </xdr:nvSpPr>
                  <xdr:spPr>
                    <a:xfrm>
                      <a:off x="16418236" y="3724599"/>
                      <a:ext cx="298801"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160" name="Grafik 159" descr="Abzeichen Silhouette">
                    <a:extLst>
                      <a:ext uri="{FF2B5EF4-FFF2-40B4-BE49-F238E27FC236}">
                        <a16:creationId xmlns:a16="http://schemas.microsoft.com/office/drawing/2014/main" id="{2F6300A8-ED5A-43EF-9E30-3B05BE8D5E9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12173770" y="320091"/>
                    <a:ext cx="403451" cy="439030"/>
                  </a:xfrm>
                  <a:prstGeom prst="rect">
                    <a:avLst/>
                  </a:prstGeom>
                </xdr:spPr>
              </xdr:pic>
            </xdr:grpSp>
            <xdr:cxnSp macro="">
              <xdr:nvCxnSpPr>
                <xdr:cNvPr id="158" name="Gerade Verbindung mit Pfeil 157">
                  <a:extLst>
                    <a:ext uri="{FF2B5EF4-FFF2-40B4-BE49-F238E27FC236}">
                      <a16:creationId xmlns:a16="http://schemas.microsoft.com/office/drawing/2014/main" id="{045B4E11-A16C-4E3D-B1AD-864F5BB70E8C}"/>
                    </a:ext>
                  </a:extLst>
                </xdr:cNvPr>
                <xdr:cNvCxnSpPr/>
              </xdr:nvCxnSpPr>
              <xdr:spPr>
                <a:xfrm flipV="1">
                  <a:off x="12610711" y="3657699"/>
                  <a:ext cx="1074296" cy="196749"/>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55" name="Textfeld 154">
                <a:extLst>
                  <a:ext uri="{FF2B5EF4-FFF2-40B4-BE49-F238E27FC236}">
                    <a16:creationId xmlns:a16="http://schemas.microsoft.com/office/drawing/2014/main" id="{4B69CF76-5A17-46EB-9F00-26DD04211605}"/>
                  </a:ext>
                </a:extLst>
              </xdr:cNvPr>
              <xdr:cNvSpPr txBox="1"/>
            </xdr:nvSpPr>
            <xdr:spPr>
              <a:xfrm>
                <a:off x="12415188" y="4055130"/>
                <a:ext cx="1004315" cy="3082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200" b="1">
                    <a:solidFill>
                      <a:schemeClr val="accent5"/>
                    </a:solidFill>
                  </a:rPr>
                  <a:t>Pyramide</a:t>
                </a:r>
              </a:p>
            </xdr:txBody>
          </xdr:sp>
        </xdr:grpSp>
        <xdr:cxnSp macro="">
          <xdr:nvCxnSpPr>
            <xdr:cNvPr id="164" name="Gerade Verbindung mit Pfeil 163">
              <a:extLst>
                <a:ext uri="{FF2B5EF4-FFF2-40B4-BE49-F238E27FC236}">
                  <a16:creationId xmlns:a16="http://schemas.microsoft.com/office/drawing/2014/main" id="{1D3A7C84-F15B-4E72-9B76-2FEB4A53A4C1}"/>
                </a:ext>
              </a:extLst>
            </xdr:cNvPr>
            <xdr:cNvCxnSpPr/>
          </xdr:nvCxnSpPr>
          <xdr:spPr>
            <a:xfrm>
              <a:off x="14009513" y="4838702"/>
              <a:ext cx="353534" cy="42932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65" name="Textfeld 164">
              <a:extLst>
                <a:ext uri="{FF2B5EF4-FFF2-40B4-BE49-F238E27FC236}">
                  <a16:creationId xmlns:a16="http://schemas.microsoft.com/office/drawing/2014/main" id="{B93D0ECB-64A6-46C2-8BDB-7579EEB64D95}"/>
                </a:ext>
              </a:extLst>
            </xdr:cNvPr>
            <xdr:cNvSpPr txBox="1"/>
          </xdr:nvSpPr>
          <xdr:spPr>
            <a:xfrm>
              <a:off x="14883334" y="5191646"/>
              <a:ext cx="196584" cy="215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166" name="Textfeld 165">
              <a:extLst>
                <a:ext uri="{FF2B5EF4-FFF2-40B4-BE49-F238E27FC236}">
                  <a16:creationId xmlns:a16="http://schemas.microsoft.com/office/drawing/2014/main" id="{23C3D711-84CE-49D6-AC0F-91ED2DB5844D}"/>
                </a:ext>
              </a:extLst>
            </xdr:cNvPr>
            <xdr:cNvSpPr txBox="1"/>
          </xdr:nvSpPr>
          <xdr:spPr>
            <a:xfrm>
              <a:off x="13992225" y="5000625"/>
              <a:ext cx="196584" cy="215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grpSp>
      <xdr:grpSp>
        <xdr:nvGrpSpPr>
          <xdr:cNvPr id="76" name="Gruppieren 75">
            <a:extLst>
              <a:ext uri="{FF2B5EF4-FFF2-40B4-BE49-F238E27FC236}">
                <a16:creationId xmlns:a16="http://schemas.microsoft.com/office/drawing/2014/main" id="{C48947A0-C370-4EC3-A452-DBDE9525C30D}"/>
              </a:ext>
            </a:extLst>
          </xdr:cNvPr>
          <xdr:cNvGrpSpPr>
            <a:grpSpLocks noChangeAspect="1"/>
          </xdr:cNvGrpSpPr>
        </xdr:nvGrpSpPr>
        <xdr:grpSpPr>
          <a:xfrm>
            <a:off x="13901738" y="5291139"/>
            <a:ext cx="1759806" cy="1710012"/>
            <a:chOff x="11818931" y="92635"/>
            <a:chExt cx="2176226" cy="2114647"/>
          </a:xfrm>
        </xdr:grpSpPr>
        <xdr:grpSp>
          <xdr:nvGrpSpPr>
            <xdr:cNvPr id="77" name="Gruppieren 76">
              <a:extLst>
                <a:ext uri="{FF2B5EF4-FFF2-40B4-BE49-F238E27FC236}">
                  <a16:creationId xmlns:a16="http://schemas.microsoft.com/office/drawing/2014/main" id="{53AE8F9A-B3F9-4625-BB77-1876E777E843}"/>
                </a:ext>
              </a:extLst>
            </xdr:cNvPr>
            <xdr:cNvGrpSpPr/>
          </xdr:nvGrpSpPr>
          <xdr:grpSpPr>
            <a:xfrm>
              <a:off x="11818931" y="92635"/>
              <a:ext cx="2176226" cy="2023091"/>
              <a:chOff x="11933231" y="156414"/>
              <a:chExt cx="2176226" cy="2089432"/>
            </a:xfrm>
          </xdr:grpSpPr>
          <xdr:grpSp>
            <xdr:nvGrpSpPr>
              <xdr:cNvPr id="79" name="Gruppieren 78">
                <a:extLst>
                  <a:ext uri="{FF2B5EF4-FFF2-40B4-BE49-F238E27FC236}">
                    <a16:creationId xmlns:a16="http://schemas.microsoft.com/office/drawing/2014/main" id="{99D18EFB-F5C1-463D-B983-7D26DD202281}"/>
                  </a:ext>
                </a:extLst>
              </xdr:cNvPr>
              <xdr:cNvGrpSpPr>
                <a:grpSpLocks noChangeAspect="1"/>
              </xdr:cNvGrpSpPr>
            </xdr:nvGrpSpPr>
            <xdr:grpSpPr>
              <a:xfrm>
                <a:off x="11933231" y="156414"/>
                <a:ext cx="2176226" cy="2089432"/>
                <a:chOff x="14178357" y="2812523"/>
                <a:chExt cx="2890481" cy="2775202"/>
              </a:xfrm>
            </xdr:grpSpPr>
            <xdr:pic>
              <xdr:nvPicPr>
                <xdr:cNvPr id="81" name="Grafik 80" descr="Toilettenpapier Silhouette">
                  <a:extLst>
                    <a:ext uri="{FF2B5EF4-FFF2-40B4-BE49-F238E27FC236}">
                      <a16:creationId xmlns:a16="http://schemas.microsoft.com/office/drawing/2014/main" id="{BA480ADB-6F7E-44B6-B708-1BB7E825D2D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rot="5400000">
                  <a:off x="14235997" y="2754883"/>
                  <a:ext cx="2775202" cy="2890481"/>
                </a:xfrm>
                <a:prstGeom prst="rect">
                  <a:avLst/>
                </a:prstGeom>
              </xdr:spPr>
            </xdr:pic>
            <xdr:cxnSp macro="">
              <xdr:nvCxnSpPr>
                <xdr:cNvPr id="82" name="Gerade Verbindung mit Pfeil 81">
                  <a:extLst>
                    <a:ext uri="{FF2B5EF4-FFF2-40B4-BE49-F238E27FC236}">
                      <a16:creationId xmlns:a16="http://schemas.microsoft.com/office/drawing/2014/main" id="{5A340B53-A380-4514-8120-267888F0B8CF}"/>
                    </a:ext>
                  </a:extLst>
                </xdr:cNvPr>
                <xdr:cNvCxnSpPr/>
              </xdr:nvCxnSpPr>
              <xdr:spPr>
                <a:xfrm>
                  <a:off x="14780676" y="4258642"/>
                  <a:ext cx="1079494" cy="0"/>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86" name="Gerade Verbindung mit Pfeil 85">
                  <a:extLst>
                    <a:ext uri="{FF2B5EF4-FFF2-40B4-BE49-F238E27FC236}">
                      <a16:creationId xmlns:a16="http://schemas.microsoft.com/office/drawing/2014/main" id="{41942DD7-5793-4E27-AD35-8677C72F4422}"/>
                    </a:ext>
                  </a:extLst>
                </xdr:cNvPr>
                <xdr:cNvCxnSpPr/>
              </xdr:nvCxnSpPr>
              <xdr:spPr>
                <a:xfrm flipH="1">
                  <a:off x="16263827" y="4080908"/>
                  <a:ext cx="284713" cy="326534"/>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87" name="Textfeld 86">
                  <a:extLst>
                    <a:ext uri="{FF2B5EF4-FFF2-40B4-BE49-F238E27FC236}">
                      <a16:creationId xmlns:a16="http://schemas.microsoft.com/office/drawing/2014/main" id="{18D82E9F-72F1-4EB4-A791-76189356967B}"/>
                    </a:ext>
                  </a:extLst>
                </xdr:cNvPr>
                <xdr:cNvSpPr txBox="1"/>
              </xdr:nvSpPr>
              <xdr:spPr>
                <a:xfrm>
                  <a:off x="15202838" y="4248831"/>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88" name="Textfeld 87">
                  <a:extLst>
                    <a:ext uri="{FF2B5EF4-FFF2-40B4-BE49-F238E27FC236}">
                      <a16:creationId xmlns:a16="http://schemas.microsoft.com/office/drawing/2014/main" id="{D4BED766-6A6A-41B3-A974-0B3DCD71500A}"/>
                    </a:ext>
                  </a:extLst>
                </xdr:cNvPr>
                <xdr:cNvSpPr txBox="1"/>
              </xdr:nvSpPr>
              <xdr:spPr>
                <a:xfrm>
                  <a:off x="14722080" y="4497892"/>
                  <a:ext cx="298800" cy="328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sp macro="" textlink="">
              <xdr:nvSpPr>
                <xdr:cNvPr id="89" name="Textfeld 88">
                  <a:extLst>
                    <a:ext uri="{FF2B5EF4-FFF2-40B4-BE49-F238E27FC236}">
                      <a16:creationId xmlns:a16="http://schemas.microsoft.com/office/drawing/2014/main" id="{7090E91E-F508-4100-AA85-D6A6A84D494E}"/>
                    </a:ext>
                  </a:extLst>
                </xdr:cNvPr>
                <xdr:cNvSpPr txBox="1"/>
              </xdr:nvSpPr>
              <xdr:spPr>
                <a:xfrm>
                  <a:off x="16359495" y="4278637"/>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t</a:t>
                  </a:r>
                </a:p>
              </xdr:txBody>
            </xdr:sp>
            <xdr:cxnSp macro="">
              <xdr:nvCxnSpPr>
                <xdr:cNvPr id="90" name="Gerade Verbindung mit Pfeil 89">
                  <a:extLst>
                    <a:ext uri="{FF2B5EF4-FFF2-40B4-BE49-F238E27FC236}">
                      <a16:creationId xmlns:a16="http://schemas.microsoft.com/office/drawing/2014/main" id="{30A12F00-C0FC-488E-AE2C-0CD0FB232774}"/>
                    </a:ext>
                  </a:extLst>
                </xdr:cNvPr>
                <xdr:cNvCxnSpPr/>
              </xdr:nvCxnSpPr>
              <xdr:spPr>
                <a:xfrm flipV="1">
                  <a:off x="14999702" y="4032435"/>
                  <a:ext cx="0" cy="117952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pic>
            <xdr:nvPicPr>
              <xdr:cNvPr id="80" name="Grafik 79" descr="Marke 7 Silhouette">
                <a:extLst>
                  <a:ext uri="{FF2B5EF4-FFF2-40B4-BE49-F238E27FC236}">
                    <a16:creationId xmlns:a16="http://schemas.microsoft.com/office/drawing/2014/main" id="{5723FCCD-977E-4B3C-B948-50C8FCD6445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rcRect/>
              <a:stretch/>
            </xdr:blipFill>
            <xdr:spPr>
              <a:xfrm>
                <a:off x="12215049" y="386847"/>
                <a:ext cx="400668" cy="413806"/>
              </a:xfrm>
              <a:prstGeom prst="rect">
                <a:avLst/>
              </a:prstGeom>
            </xdr:spPr>
          </xdr:pic>
        </xdr:grpSp>
        <xdr:sp macro="" textlink="">
          <xdr:nvSpPr>
            <xdr:cNvPr id="78" name="Textfeld 77">
              <a:extLst>
                <a:ext uri="{FF2B5EF4-FFF2-40B4-BE49-F238E27FC236}">
                  <a16:creationId xmlns:a16="http://schemas.microsoft.com/office/drawing/2014/main" id="{8AAE53BD-46C8-4377-8781-CAC5A9ED8009}"/>
                </a:ext>
              </a:extLst>
            </xdr:cNvPr>
            <xdr:cNvSpPr txBox="1"/>
          </xdr:nvSpPr>
          <xdr:spPr>
            <a:xfrm>
              <a:off x="12554550" y="1874173"/>
              <a:ext cx="746621"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Blech</a:t>
              </a:r>
            </a:p>
          </xdr:txBody>
        </xdr:sp>
      </xdr:grpSp>
    </xdr:grpSp>
    <xdr:clientData/>
  </xdr:twoCellAnchor>
</xdr:wsDr>
</file>

<file path=xl/drawings/drawing8.xml><?xml version="1.0" encoding="utf-8"?>
<xdr:wsDr xmlns:xdr="http://schemas.openxmlformats.org/drawingml/2006/spreadsheetDrawing" xmlns:a="http://schemas.openxmlformats.org/drawingml/2006/main">
  <xdr:absoluteAnchor>
    <xdr:pos x="0" y="0"/>
    <xdr:ext cx="9286875" cy="6105525"/>
    <xdr:graphicFrame macro="">
      <xdr:nvGraphicFramePr>
        <xdr:cNvPr id="2" name="Diagramm 1">
          <a:extLst>
            <a:ext uri="{FF2B5EF4-FFF2-40B4-BE49-F238E27FC236}">
              <a16:creationId xmlns:a16="http://schemas.microsoft.com/office/drawing/2014/main" id="{92C2A3EF-1379-46F9-9B9C-0FB8C63C65F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9286875" cy="6029325"/>
    <mc:AlternateContent xmlns:mc="http://schemas.openxmlformats.org/markup-compatibility/2006">
      <mc:Choice xmlns:cx1="http://schemas.microsoft.com/office/drawing/2015/9/8/chartex" Requires="cx1">
        <xdr:graphicFrame macro="">
          <xdr:nvGraphicFramePr>
            <xdr:cNvPr id="2" name="Diagramm 1">
              <a:extLst>
                <a:ext uri="{FF2B5EF4-FFF2-40B4-BE49-F238E27FC236}">
                  <a16:creationId xmlns:a16="http://schemas.microsoft.com/office/drawing/2014/main" id="{09DEEDD3-46D0-4763-8A45-17627946680D}"/>
                </a:ext>
              </a:extLst>
            </xdr:cNvPr>
            <xdr:cNvGraphicFramePr>
              <a:graphicFrameLocks noGrp="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graphicFrame macro="">
          <xdr:nvGraphicFramePr>
            <xdr:cNvPr id="0" na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mc:Fallback>
    </mc:AlternateContent>
    <xdr:clientData/>
  </xdr:absoluteAnchor>
</xdr:wsDr>
</file>

<file path=xl/drawings/drawing10.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Rechteck 1">
          <a:extLst xmlns:a="http://schemas.openxmlformats.org/drawingml/2006/main">
            <a:ext uri="{FF2B5EF4-FFF2-40B4-BE49-F238E27FC236}">
              <a16:creationId xmlns:a16="http://schemas.microsoft.com/office/drawing/2014/main" id="{900C01C6-D839-6504-ACC8-F48FF74B55BD}"/>
            </a:ext>
          </a:extLst>
        </cdr:cNvPr>
        <cdr:cNvSpPr>
          <a:spLocks xmlns:a="http://schemas.openxmlformats.org/drawingml/2006/main" noTextEdit="1"/>
        </cdr:cNvSpPr>
      </cdr:nvSpPr>
      <cdr:spPr>
        <a:xfrm xmlns:a="http://schemas.openxmlformats.org/drawingml/2006/main">
          <a:off x="0" y="0"/>
          <a:ext cx="9286875" cy="6029325"/>
        </a:xfrm>
        <a:prstGeom xmlns:a="http://schemas.openxmlformats.org/drawingml/2006/main" prst="rect">
          <a:avLst/>
        </a:prstGeom>
        <a:solidFill xmlns:a="http://schemas.openxmlformats.org/drawingml/2006/main">
          <a:prstClr val="white"/>
        </a:solidFill>
        <a:ln xmlns:a="http://schemas.openxmlformats.org/drawingml/2006/main" w="1">
          <a:solidFill>
            <a:prstClr val="green"/>
          </a:solidFill>
        </a:ln>
      </cdr:spPr>
      <cdr:txBody>
        <a:bodyPr xmlns:a="http://schemas.openxmlformats.org/drawingml/2006/main" vertOverflow="clip" horzOverflow="clip"/>
        <a:lstStyle xmlns:a="http://schemas.openxmlformats.org/drawingml/2006/main"/>
        <a:p xmlns:a="http://schemas.openxmlformats.org/drawingml/2006/main">
          <a:r>
            <a:rPr lang="de-DE" sz="1100"/>
            <a:t>Dieses Diagramm ist in Ihrer Version von Excel nicht verfügbar.
Wenn Sie diese Form bearbeiten oder diese Arbeitsmappe in einem anderen Dateiformat speichern, wird das Diagramm dauerhaft beschädigt.</a:t>
          </a:r>
        </a:p>
      </cdr:txBody>
    </cdr:sp>
  </cdr:relSizeAnchor>
</c:userShapes>
</file>

<file path=xl/drawings/drawing11.xml><?xml version="1.0" encoding="utf-8"?>
<xdr:wsDr xmlns:xdr="http://schemas.openxmlformats.org/drawingml/2006/spreadsheetDrawing" xmlns:a="http://schemas.openxmlformats.org/drawingml/2006/main">
  <xdr:twoCellAnchor>
    <xdr:from>
      <xdr:col>1</xdr:col>
      <xdr:colOff>40953</xdr:colOff>
      <xdr:row>0</xdr:row>
      <xdr:rowOff>223110</xdr:rowOff>
    </xdr:from>
    <xdr:to>
      <xdr:col>2</xdr:col>
      <xdr:colOff>876247</xdr:colOff>
      <xdr:row>0</xdr:row>
      <xdr:rowOff>585108</xdr:rowOff>
    </xdr:to>
    <xdr:pic>
      <xdr:nvPicPr>
        <xdr:cNvPr id="2" name="Grafik 1">
          <a:extLst>
            <a:ext uri="{FF2B5EF4-FFF2-40B4-BE49-F238E27FC236}">
              <a16:creationId xmlns:a16="http://schemas.microsoft.com/office/drawing/2014/main" id="{E86EB48D-E5BE-4042-8030-32FDF773265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28" y="223110"/>
          <a:ext cx="1959244" cy="3619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adjustColumnWidth="0" connectionId="1" xr16:uid="{461018E9-148A-4D79-A287-FC0B6ECB2E1A}" autoFormatId="16" applyNumberFormats="0" applyBorderFormats="0" applyFontFormats="0" applyPatternFormats="0" applyAlignmentFormats="0" applyWidthHeightFormats="0">
  <queryTableRefresh nextId="66" unboundColumnsLeft="1" unboundColumnsRight="25">
    <queryTableFields count="42">
      <queryTableField id="37" dataBound="0" tableColumnId="37"/>
      <queryTableField id="10" name="DE" tableColumnId="10"/>
      <queryTableField id="11" name="EN" tableColumnId="11"/>
      <queryTableField id="2" name="Bestellaufwand" tableColumnId="2"/>
      <queryTableField id="3" name="Lagerart" tableColumnId="3"/>
      <queryTableField id="4" name="Handling" tableColumnId="4"/>
      <queryTableField id="5" name="Prüfaufwand" tableColumnId="5"/>
      <queryTableField id="6" name="Spezifiaktion" tableColumnId="6"/>
      <queryTableField id="64" name="Bestellzyklus" tableColumnId="43"/>
      <queryTableField id="7" name="Lagerreichweite" tableColumnId="7"/>
      <queryTableField id="51" name="Stk." tableColumnId="1"/>
      <queryTableField id="52" name="kg" tableColumnId="8"/>
      <queryTableField id="53" name="l" tableColumnId="38"/>
      <queryTableField id="54" name="m" tableColumnId="39"/>
      <queryTableField id="55" name="m²" tableColumnId="40"/>
      <queryTableField id="56" name="m³" tableColumnId="41"/>
      <queryTableField id="9" name="Fläche je Lagereinheit" tableColumnId="9"/>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2" adjustColumnWidth="0" connectionId="2" xr16:uid="{C2C0DD02-8404-4FD8-B6AD-66B3022869EC}" autoFormatId="16" applyNumberFormats="0" applyBorderFormats="0" applyFontFormats="0" applyPatternFormats="0" applyAlignmentFormats="0" applyWidthHeightFormats="0">
  <queryTableRefresh nextId="11">
    <queryTableFields count="10">
      <queryTableField id="1" name="Bezeichnung" tableColumnId="1"/>
      <queryTableField id="2" name="Invest" tableColumnId="2"/>
      <queryTableField id="3" name="AfA" tableColumnId="3"/>
      <queryTableField id="4" name="Strom" tableColumnId="4"/>
      <queryTableField id="5" name="Faktor" tableColumnId="5"/>
      <queryTableField id="6" name="Fläche" tableColumnId="6"/>
      <queryTableField id="7" name="Verbrauchsmaterial" tableColumnId="7"/>
      <queryTableField id="8" name="Instandhaltung" tableColumnId="8"/>
      <queryTableField id="9" name="Gerät" tableColumnId="9"/>
      <queryTableField id="10" name="Handling" tableColumnId="10"/>
    </queryTableFields>
  </queryTableRefresh>
</queryTable>
</file>

<file path=xl/tables/_rels/table2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57A531E-3BD5-4F9A-B6CE-CEE0C3CD28F5}" name="ChangeLog" displayName="ChangeLog" ref="B2:H133" totalsRowShown="0" headerRowDxfId="1396" dataDxfId="1395">
  <tableColumns count="7">
    <tableColumn id="4" xr3:uid="{3D95F67E-EABD-4161-A562-60F03B96EAD7}" name="ID" dataDxfId="1394"/>
    <tableColumn id="2" xr3:uid="{C84DA792-C441-4679-B586-4E868B52349A}" name="Arbeitsblatt" dataDxfId="1393"/>
    <tableColumn id="8" xr3:uid="{3B68741C-F89A-4799-8467-AE93E21DC7EE}" name="Beschreibung" dataDxfId="1392"/>
    <tableColumn id="7" xr3:uid="{578AB17F-283E-49C6-9EA8-96E892E5ABF1}" name="Autor" dataDxfId="1391"/>
    <tableColumn id="9" xr3:uid="{F1581991-4C1B-4C9F-A294-DFCC5EC002D2}" name="Status" dataDxfId="1390"/>
    <tableColumn id="1" xr3:uid="{1B5CDDB2-B592-4BCA-940B-6873018CA6C9}" name="Version" dataDxfId="1389"/>
    <tableColumn id="6" xr3:uid="{FC981213-9B5D-4B8E-9145-69B0588087E8}" name="Datum" dataDxfId="1388"/>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5E5C66D-5761-4A0F-9C49-08847E782127}" name="CostSplit1" displayName="CostSplit1" ref="E2:I19" totalsRowShown="0" headerRowDxfId="1380" dataDxfId="1379">
  <tableColumns count="5">
    <tableColumn id="1" xr3:uid="{8EEC6DD6-F9E6-4E8E-87E3-475906D7D10B}" name="Cost split 1" dataDxfId="1378"/>
    <tableColumn id="4" xr3:uid="{CB713395-30FF-4616-96F1-09F3ED0BA88C}" name="Basis" dataDxfId="1377"/>
    <tableColumn id="5" xr3:uid="{4D634FBB-AF12-46A3-BB8B-0A12128170D2}" name="∑" dataDxfId="1376">
      <calculatedColumnFormula>CostSplit1[[#This Row],[Basis]]+CostSplit1[[#This Row],[Wert]]</calculatedColumnFormula>
    </tableColumn>
    <tableColumn id="2" xr3:uid="{4DAA1FF1-4DF7-4F72-B83E-224479FBC40F}" name="Wert" dataDxfId="1375"/>
    <tableColumn id="3" xr3:uid="{651A80E1-2CD5-4FA7-A61B-A39866782327}" name="  " dataDxfId="1374">
      <calculatedColumnFormula>CostSplit1[[#This Row],[Wert]]</calculatedColumnFormula>
    </tableColumn>
  </tableColumns>
  <tableStyleInfo name="Tabellenformat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ABFB73E-E8BD-470D-9BBA-3B9614DB55B3}" name="CostSplit2" displayName="CostSplit2" ref="E21:I29" totalsRowShown="0" headerRowDxfId="1373" dataDxfId="1372">
  <tableColumns count="5">
    <tableColumn id="1" xr3:uid="{C659D6AF-5266-4859-9BFD-61076D8EC505}" name="Cost split 2" dataDxfId="1371"/>
    <tableColumn id="4" xr3:uid="{FD634924-D62A-425D-BB9F-F92EBE2D7877}" name="Basis" dataDxfId="1370"/>
    <tableColumn id="5" xr3:uid="{9681032B-BB2D-442F-9099-1917F42F1DEA}" name="∑" dataDxfId="1369"/>
    <tableColumn id="2" xr3:uid="{19C4817F-42C7-4878-8EA1-EEDE4EC74C9E}" name="Wert" dataDxfId="1368"/>
    <tableColumn id="3" xr3:uid="{7AA0F184-2CC8-404F-A423-E04B8D31867D}" name="  " dataDxfId="1367">
      <calculatedColumnFormula>CostSplit2[[#This Row],[Wert]]</calculatedColumnFormula>
    </tableColumn>
  </tableColumns>
  <tableStyleInfo name="Tabellenformat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2D8B41E-D829-4C00-A75B-B6A860F815C1}" name="CostSplit3" displayName="CostSplit3" ref="E31:I37" totalsRowShown="0" headerRowDxfId="1366" dataDxfId="1365">
  <tableColumns count="5">
    <tableColumn id="1" xr3:uid="{831B6C5E-1523-416B-B60F-C31BCD9F3A86}" name="Cost split 3" dataDxfId="1364"/>
    <tableColumn id="5" xr3:uid="{AA6842DE-22B6-4F8C-BFBF-29927E4F8A1B}" name="Basis" dataDxfId="1363"/>
    <tableColumn id="4" xr3:uid="{2883CBC3-9466-4B1E-AB9A-556DF1F188ED}" name="∑" dataDxfId="1362"/>
    <tableColumn id="2" xr3:uid="{596F7C79-7886-437C-8D70-79B330327F1D}" name="Wert" dataDxfId="1361">
      <calculatedColumnFormula>H24</calculatedColumnFormula>
    </tableColumn>
    <tableColumn id="3" xr3:uid="{3352648E-8177-43CB-80E1-05A61D6E5AAD}" name="  " dataDxfId="1360">
      <calculatedColumnFormula>CostSplit3[[#This Row],[Wert]]</calculatedColumnFormula>
    </tableColumn>
  </tableColumns>
  <tableStyleInfo name="Tabellenformat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ECCCEC-96AC-470A-A1B1-3E653DB70BFE}" name="Cluster1" displayName="Cluster1" ref="B7:AL10" headerRowDxfId="1358" dataDxfId="1356" headerRowBorderDxfId="1357" tableBorderDxfId="1355" totalsRowBorderDxfId="1354">
  <tableColumns count="37">
    <tableColumn id="1" xr3:uid="{611D13D4-CCF5-4052-AB1F-507A0774249B}" name="Production" totalsRowLabel="Ergebnis" dataDxfId="1353" totalsRowDxfId="1352"/>
    <tableColumn id="2" xr3:uid="{4FFCA169-5759-4D78-9E55-7FA1B5115419}" name="Masch." dataDxfId="1351" totalsRowDxfId="1350">
      <calculatedColumnFormula array="1">SUMPRODUCT(Calculation!CV$11:CV$65*(Calculation!$FJ$11:$FJ$65=$B8)*IF($B$5=0,1,Calculation!$CA$11:$CA$65=$B$5))</calculatedColumnFormula>
    </tableColumn>
    <tableColumn id="3" xr3:uid="{80EA3B7F-ECA0-4130-BD81-15247110C9F8}" name="Rüsten" dataDxfId="1349" totalsRowDxfId="1348">
      <calculatedColumnFormula array="1">SUMPRODUCT(Calculation!CW$11:CW$65*(Calculation!$FJ$11:$FJ$65=$B8)*IF($B$5=0,1,Calculation!$CA$11:$CA$65=$B$5))</calculatedColumnFormula>
    </tableColumn>
    <tableColumn id="4" xr3:uid="{7ECBDF34-4C03-403A-B98F-C39AA2EAE84D}" name="AK" dataDxfId="1347" totalsRowDxfId="1346">
      <calculatedColumnFormula array="1">SUMPRODUCT(Calculation!CX$11:CX$65*(Calculation!$FJ$11:$FJ$65=$B8)*IF($B$5=0,1,Calculation!$CA$11:$CA$65=$B$5))</calculatedColumnFormula>
    </tableColumn>
    <tableColumn id="5" xr3:uid="{2331339D-E99A-495F-9C0F-DEF26A6B0270}" name="Wzg." dataDxfId="1345" totalsRowDxfId="1344">
      <calculatedColumnFormula array="1">SUMPRODUCT(Calculation!CY$11:CY$65*(Calculation!$FJ$11:$FJ$65=$B8)*IF($B$5=0,1,Calculation!$CA$11:$CA$65=$B$5))</calculatedColumnFormula>
    </tableColumn>
    <tableColumn id="19" xr3:uid="{0C8B02CC-F053-4CAE-9413-514FCBEC93AC}" name="V.-Wzg." dataDxfId="1343" totalsRowDxfId="1342">
      <calculatedColumnFormula array="1">SUMPRODUCT(Calculation!CZ$11:CZ$65*(Calculation!$FJ$11:$FJ$65=$B8)*IF($B$5=0,1,Calculation!$CA$11:$CA$65=$B$5))</calculatedColumnFormula>
    </tableColumn>
    <tableColumn id="6" xr3:uid="{ACBC13AE-DDE2-42CB-9C46-1133DB4CBDDE}" name="Auss. W" dataDxfId="1341" totalsRowDxfId="1340">
      <calculatedColumnFormula array="1">SUMPRODUCT(Calculation!DA$11:DA$65*(Calculation!$FJ$11:$FJ$65=$B8)*IF($B$5=0,1,Calculation!$CA$11:$CA$65=$B$5))</calculatedColumnFormula>
    </tableColumn>
    <tableColumn id="7" xr3:uid="{6D0A937D-D474-483B-8070-6DD72B961EE2}" name="FGK" dataDxfId="1339" totalsRowDxfId="1338">
      <calculatedColumnFormula array="1">SUMPRODUCT(Calculation!DB$11:DB$65*(Calculation!$FJ$11:$FJ$65=$B8)*IF($B$5=0,1,Calculation!$CA$11:$CA$65=$B$5))</calculatedColumnFormula>
    </tableColumn>
    <tableColumn id="8" xr3:uid="{3F80D668-0BBD-4EC2-A2EA-4D1148FA657E}" name="FK" dataDxfId="1337" totalsRowDxfId="1336">
      <calculatedColumnFormula>SUM($C8:$I8)</calculatedColumnFormula>
    </tableColumn>
    <tableColumn id="9" xr3:uid="{57CB33EF-3BAC-4B42-B440-440A51B58F1F}" name="D Mat." dataDxfId="1335">
      <calculatedColumnFormula array="1">SUMPRODUCT(Calculation!DD$11:DD$65*(Calculation!$FJ$11:$FJ$65=$B8)*IF($B$5=0,1,Calculation!$CA$11:$CA$65=$B$5))</calculatedColumnFormula>
    </tableColumn>
    <tableColumn id="10" xr3:uid="{930FFBBE-5BE1-4120-AFFF-5CBB62814D37}" name="Zukauf" dataDxfId="1334">
      <calculatedColumnFormula array="1">SUMPRODUCT(Calculation!DP$11:DP$65*(Calculation!$FJ$11:$FJ$65=$B8)*IF($B$5=0,0,Calculation!$CB$11:$CB$65=$B$5))
+SUMPRODUCT(Calculation!DP$11:DU$65*(Calculation!$FJ$11:$FJ$65=$B8)*IF($B$5=0,0,Calculation!$CC$11:$CC$65=$B$5))</calculatedColumnFormula>
    </tableColumn>
    <tableColumn id="11" xr3:uid="{BE2E4F45-EA66-4D09-A0AD-66CA7574E82F}" name="D. Mat" dataDxfId="1333" totalsRowDxfId="1332">
      <calculatedColumnFormula>SUM($K8:$L8)</calculatedColumnFormula>
    </tableColumn>
    <tableColumn id="12" xr3:uid="{5EC292E5-5B0C-43B4-BE1A-D7C8D2D9D799}" name="Auss. M" dataDxfId="1331" totalsRowDxfId="1330">
      <calculatedColumnFormula array="1">SUMPRODUCT(Calculation!DE$11:DE$65*(Calculation!$FJ$11:$FJ$65=$B8)*IF($B$5=0,1,Calculation!$CA$11:$CA$65=$B$5))
+SUMPRODUCT(Calculation!DQ$11:DQ$65*(Calculation!$FJ$11:$FJ$65=$B8)*IF($B$5=0,0,Calculation!$CB$11:$CB$65=$B$5))
+SUMPRODUCT(Calculation!DW$11:DW$65*(Calculation!$FJ$11:$FJ$65=$B8)*IF($B$5=0,0,Calculation!$CC$11:$CC$65=$B$5))</calculatedColumnFormula>
    </tableColumn>
    <tableColumn id="37" xr3:uid="{84F73433-A0EC-41EC-853D-E51D995E28F7}" name="MGK" dataDxfId="1329" totalsRowDxfId="1328">
      <calculatedColumnFormula array="1">SUMPRODUCT(Calculation!DF$11:DF$65*(Calculation!$FJ$11:$FJ$65=$B8)*IF($B$5=0,1,Calculation!$CA$11:$CA$65=$B$5))
+SUMPRODUCT(Calculation!DR$11:DR$65*(Calculation!$FJ$11:$FJ$65=$B8)*IF($B$5=0,0,Calculation!$CB$11:$CB$65=$B$5))
+SUMPRODUCT(Calculation!DX$11:DX$65*(Calculation!$FJ$11:$FJ$65=$B8)*IF($B$5=0,0,Calculation!$CC$11:$CC$65=$B$5))</calculatedColumnFormula>
    </tableColumn>
    <tableColumn id="38" xr3:uid="{6D0BFB33-0AFF-4C60-A403-84DC8229A62D}" name="MK" dataDxfId="1327" totalsRowDxfId="1326">
      <calculatedColumnFormula>SUM($M8:$O8)</calculatedColumnFormula>
    </tableColumn>
    <tableColumn id="13" xr3:uid="{54A6363E-3A4C-4D6A-9515-7194AFD56910}" name="HK" dataDxfId="1325" totalsRowDxfId="1324">
      <calculatedColumnFormula>$J8+$P8</calculatedColumnFormula>
    </tableColumn>
    <tableColumn id="14" xr3:uid="{5E625642-14B6-40D4-8361-F5776D4058F1}" name="VVGK W" dataDxfId="1323" totalsRowDxfId="1322">
      <calculatedColumnFormula array="1">SUMPRODUCT(Calculation!DI$11:DI$65*(Calculation!$FJ$11:$FJ$65=$B8)*IF($B$5=0,1,Calculation!$CA$11:$CA$65=$B$5))</calculatedColumnFormula>
    </tableColumn>
    <tableColumn id="25" xr3:uid="{E4CF2BD9-3024-4BC8-9663-37A8A3608A27}" name="VVGK M" dataDxfId="1321" totalsRowDxfId="1320">
      <calculatedColumnFormula array="1">SUMPRODUCT(Calculation!DJ$11:DJ$65*(Calculation!$FJ$11:$FJ$65=$B8)*IF($B$5=0,1,Calculation!$CA$11:$CA$65=$B$5))
+(SUMPRODUCT(Calculation!DS$11:DS$65*(Calculation!$FJ$11:$FJ$65=$B8)*IF($B$5=0,0,Calculation!$CB$11:$CB$65=$B$5))
+SUMPRODUCT(Calculation!DY$11:DY$65*(Calculation!$FJ$11:$FJ$65=$B8)*IF($B$5=0,0,Calculation!$CC$11:$CC$65=$B$5)))*IF(INDEX(Settings[],MATCH(3001,Settings[ID],0),2)="B",1,0)</calculatedColumnFormula>
    </tableColumn>
    <tableColumn id="24" xr3:uid="{2FAC9E34-10B6-4D12-B8C4-93E6B19CCD09}" name="VVGK" dataDxfId="1319" totalsRowDxfId="1318">
      <calculatedColumnFormula array="1">SUMPRODUCT(Calculation!DK$11:DK$65*(Calculation!$FJ$11:$FJ$65=$B8)*IF($B$5=0,1,Calculation!$CA$11:$CA$65=$B$5))
+(SUMPRODUCT(Calculation!DS$11:DS$65*(Calculation!$FJ$11:$FJ$65=$B8)*IF($B$5=0,0,Calculation!$CB$11:$CB$65=$B$5))
+SUMPRODUCT(Calculation!DY$11:DY$65*(Calculation!$FJ$11:$FJ$65=$B8)*IF($B$5=0,0,Calculation!$CC$11:$CC$65=$B$5)))*IF(INDEX(Settings[],MATCH(3001,Settings[ID],0),2)="B",0,1)</calculatedColumnFormula>
    </tableColumn>
    <tableColumn id="23" xr3:uid="{E59647A7-2CEA-4A68-A3F8-29C5525028FC}" name="Gew.W" dataDxfId="1317" totalsRowDxfId="1316">
      <calculatedColumnFormula array="1">SUMPRODUCT(Calculation!DL$11:DL$65*(Calculation!$FJ$11:$FJ$65=$B8)*IF($B$5=0,1,Calculation!$CA$11:$CA$65=$B$5))</calculatedColumnFormula>
    </tableColumn>
    <tableColumn id="22" xr3:uid="{997688AC-9E10-4C81-8E30-29C294822DD5}" name="Gew. M" dataDxfId="1315" totalsRowDxfId="1314">
      <calculatedColumnFormula array="1">SUMPRODUCT(Calculation!DM$11:DM$65*(Calculation!$FJ$11:$FJ$65=$B8)*IF($B$5=0,1,Calculation!$CA$11:$CA$65=$B$5))
+(SUMPRODUCT(Calculation!DT$11:DT$65*(Calculation!$FJ$11:$FJ$65=$B8)*IF($B$5=0,0,Calculation!$CB$11:$CB$65=$B$5))
+SUMPRODUCT(Calculation!DZ$11:DZ$65*(Calculation!$FJ$11:$FJ$65=$B8)*IF($B$5=0,0,Calculation!$CC$11:$CC$65=$B$5)))*IF(INDEX(Settings[],MATCH(3002,Settings[ID],0),2)="B",1,0)</calculatedColumnFormula>
    </tableColumn>
    <tableColumn id="15" xr3:uid="{4743CB32-AD21-4948-9FD7-103D69CEA69B}" name="Gewinn" dataDxfId="1313" totalsRowDxfId="1312">
      <calculatedColumnFormula array="1">SUMPRODUCT(Calculation!DN$11:DN$65*(Calculation!$FJ$11:$FJ$65=$B8)*IF($B$5=0,1,Calculation!$CA$11:$CA$65=$B$5))
+(SUMPRODUCT(Calculation!DT$11:DT$65*(Calculation!$FJ$11:$FJ$65=$B8)*IF($B$5=0,0,Calculation!$CB$11:$CB$65=$B$5))
+SUMPRODUCT(Calculation!DZ$11:DZ$65*(Calculation!$FJ$11:$FJ$65=$B8)*IF($B$5=0,0,Calculation!$CC$11:$CC$65=$B$5)))*IF(INDEX(Settings[],MATCH(3002,Settings[ID],0),2)="B",0,1)</calculatedColumnFormula>
    </tableColumn>
    <tableColumn id="16" xr3:uid="{FD81F64A-7969-43FB-A609-B677E526CD23}" name="Sonstige" dataDxfId="1311" totalsRowDxfId="1310">
      <calculatedColumnFormula array="1">SUMPRODUCT(Calculation!DO$11:DO$65*(Calculation!$FJ$11:$FJ$65=$B8)*IF($B$5=0,1,Calculation!$CA$11:$CA$65=$B$5))
+SUMPRODUCT(Calculation!DU$11:DU$65*(Calculation!$FJ$11:$FJ$65=$B8)*IF($B$5=0,0,Calculation!$CB$11:$CB$65=$B$5))
+SUMPRODUCT(Calculation!EA$11:EA$65*(Calculation!$FJ$11:$FJ$65=$B8)*IF($B$5=0,0,Calculation!$CC$11:$CC$65=$B$5))</calculatedColumnFormula>
    </tableColumn>
    <tableColumn id="26" xr3:uid="{9F43814B-B840-4D65-873E-2EC0511FEBEE}" name="Preis" dataDxfId="1309" totalsRowDxfId="1308">
      <calculatedColumnFormula>SUM($Q8:$X8)</calculatedColumnFormula>
    </tableColumn>
    <tableColumn id="18" xr3:uid="{928A84BF-1B68-42F6-A6BF-C40974DCDFA9}" name="Auss." dataDxfId="1307" totalsRowDxfId="1306">
      <calculatedColumnFormula array="1">SUMPRODUCT(Calculation!DQ$11:DQ$65*(Calculation!$FJ$11:$FJ$65=$B8)*IF($B$5=0,1,0))</calculatedColumnFormula>
    </tableColumn>
    <tableColumn id="20" xr3:uid="{D0D7C87C-B706-414F-A0C2-566E2ABF5F3B}" name="MGK2" dataDxfId="1305" totalsRowDxfId="1304">
      <calculatedColumnFormula array="1">SUMPRODUCT(Calculation!DR$11:DR$65*(Calculation!$FJ$11:$FJ$65=$B8)*IF($B$5=0,1,0))</calculatedColumnFormula>
    </tableColumn>
    <tableColumn id="21" xr3:uid="{61F2BC64-5E70-4BE7-9332-E9D63A00769D}" name="VVGK3" dataDxfId="1303" totalsRowDxfId="1302">
      <calculatedColumnFormula array="1">SUMPRODUCT(Calculation!DS$11:DS$65*(Calculation!$FJ$11:$FJ$65=$B8)*IF($B$5=0,1,0))</calculatedColumnFormula>
    </tableColumn>
    <tableColumn id="28" xr3:uid="{807D63ED-58F8-46E5-8313-C6838634A29B}" name="Gewinn4" dataDxfId="1301" totalsRowDxfId="1300">
      <calculatedColumnFormula array="1">SUMPRODUCT(Calculation!DT$11:DT$65*(Calculation!$FJ$11:$FJ$65=$B8)*IF($B$5=0,1,0))</calculatedColumnFormula>
    </tableColumn>
    <tableColumn id="29" xr3:uid="{21A2EDD0-6A9B-4C0A-A92D-BFEAAF9C1993}" name="Sonstige5" dataDxfId="1299" totalsRowDxfId="1298">
      <calculatedColumnFormula array="1">SUMPRODUCT(Calculation!DU$11:DU$65*(Calculation!$FJ$11:$FJ$65=$B8)*IF($B$5=0,1,0))</calculatedColumnFormula>
    </tableColumn>
    <tableColumn id="30" xr3:uid="{13634617-59F9-4F0B-92A6-FB926962DC35}" name="Preis6" dataDxfId="1297">
      <calculatedColumnFormula>IF(SUM($Z8:$AD8)=0,0,SUM($Y8:$AD8))</calculatedColumnFormula>
    </tableColumn>
    <tableColumn id="31" xr3:uid="{9CA9E0F0-5EE4-4CDA-8998-05CA61076AFF}" name="Auss.7" dataDxfId="1296" totalsRowDxfId="1295">
      <calculatedColumnFormula array="1">SUMPRODUCT(Calculation!DW$11:DW$65*(Calculation!$FJ$11:$FJ$65=$B8)*IF($B$5=0,1,0))</calculatedColumnFormula>
    </tableColumn>
    <tableColumn id="32" xr3:uid="{8069EA74-DE65-4E0E-83B8-D726B32BDD5D}" name="MGK8" dataDxfId="1294" totalsRowDxfId="1293">
      <calculatedColumnFormula array="1">SUMPRODUCT(Calculation!DX$11:DX$65*(Calculation!$FJ$11:$FJ$65=$B8)*IF($B$5=0,1,0))</calculatedColumnFormula>
    </tableColumn>
    <tableColumn id="33" xr3:uid="{1BB94270-F8A0-4423-8CAD-1644EE427BDE}" name="VVGK9" dataDxfId="1292" totalsRowDxfId="1291">
      <calculatedColumnFormula array="1">SUMPRODUCT(Calculation!DY$11:DY$65*(Calculation!$FJ$11:$FJ$65=$B8)*IF($B$5=0,1,0))</calculatedColumnFormula>
    </tableColumn>
    <tableColumn id="34" xr3:uid="{B89F3498-2B8D-47CF-ADD9-0166E45E1CAB}" name="Gewinn10" dataDxfId="1290" totalsRowDxfId="1289">
      <calculatedColumnFormula array="1">SUMPRODUCT(Calculation!DZ$11:DZ$65*(Calculation!$FJ$11:$FJ$65=$B8)*IF($B$5=0,1,0))</calculatedColumnFormula>
    </tableColumn>
    <tableColumn id="35" xr3:uid="{EA52647F-E997-4D35-AF8C-4A0525628071}" name="Sonstige11" dataDxfId="1288" totalsRowDxfId="1287">
      <calculatedColumnFormula array="1">SUMPRODUCT(Calculation!EA$11:EA$65*(Calculation!$FJ$11:$FJ$65=$B8)*IF($B$5=0,1,0))</calculatedColumnFormula>
    </tableColumn>
    <tableColumn id="36" xr3:uid="{5E0B40FB-6A9A-427F-B0CB-2ED98DBF022A}" name="Preis12" dataDxfId="1286" totalsRowDxfId="1285">
      <calculatedColumnFormula>IF(SUM(Cluster1[[Auss.7]:[Sonstige11]])=0,0,SUM($Y8:$AD8,$AF8:$AJ8))</calculatedColumnFormula>
    </tableColumn>
    <tableColumn id="27" xr3:uid="{28EFA9D1-2438-4B2E-9C5E-9D82C166B825}" name=" " dataDxfId="1284" totalsRowDxfId="1283">
      <calculatedColumnFormula>IF($B$5=0,$AK8,$Y8)</calculatedColumnFormula>
    </tableColumn>
  </tableColumns>
  <tableStyleInfo name="Tabellenformat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B490511-6644-48A3-9013-26A61298E4B7}" name="Cluster2" displayName="Cluster2" ref="B12:AL17" totalsRowShown="0" headerRowDxfId="1282" dataDxfId="1280" headerRowBorderDxfId="1281" tableBorderDxfId="1279" totalsRowBorderDxfId="1278">
  <tableColumns count="37">
    <tableColumn id="1" xr3:uid="{46036DA8-38D0-4625-B6EF-AAA3C77CDE70}" name="Material" dataDxfId="1277"/>
    <tableColumn id="2" xr3:uid="{0ACBA334-4737-4D95-892F-1DC79DC79EB9}" name="Masch." dataDxfId="1276">
      <calculatedColumnFormula array="1">SUMPRODUCT(Calculation!CV$11:CV$65*(Calculation!$FK$11:$FK$65=$B13)*IF($B$5=0,1,Calculation!$CA$11:$CA$65=$B$5))</calculatedColumnFormula>
    </tableColumn>
    <tableColumn id="3" xr3:uid="{5267E66E-7F6B-4B52-BFE6-026303B4C4C4}" name="Rüsten" dataDxfId="1275">
      <calculatedColumnFormula array="1">SUMPRODUCT(Calculation!CW$11:CW$65*(Calculation!$FK$11:$FK$65=$B13)*IF($B$5=0,1,Calculation!$CA$11:$CA$65=$B$5))</calculatedColumnFormula>
    </tableColumn>
    <tableColumn id="4" xr3:uid="{8ED46DAB-D77B-40FD-AC2D-91CCB10B3A2E}" name="AK" dataDxfId="1274">
      <calculatedColumnFormula array="1">SUMPRODUCT(Calculation!CX$11:CX$65*(Calculation!$FK$11:$FK$65=$B13)*IF($B$5=0,1,Calculation!$CA$11:$CA$65=$B$5))</calculatedColumnFormula>
    </tableColumn>
    <tableColumn id="5" xr3:uid="{D62E3D55-DC43-4943-AB04-69353451E5A5}" name="Wzg." dataDxfId="1273">
      <calculatedColumnFormula array="1">SUMPRODUCT(Calculation!CY$11:CY$65*(Calculation!$FK$11:$FK$65=$B13)*IF($B$5=0,1,Calculation!$CA$11:$CA$65=$B$5))</calculatedColumnFormula>
    </tableColumn>
    <tableColumn id="19" xr3:uid="{A12E4491-F480-49FB-8211-71BAB75CBD7C}" name="V.-Wzg." dataDxfId="1272">
      <calculatedColumnFormula array="1">SUMPRODUCT(Calculation!CZ$11:CZ$65*(Calculation!$FK$11:$FK$65=$B13)*IF($B$5=0,1,Calculation!$CA$11:$CA$65=$B$5))</calculatedColumnFormula>
    </tableColumn>
    <tableColumn id="6" xr3:uid="{82B86A14-5C52-46C1-AE98-0B989701D073}" name="Auss. W" dataDxfId="1271">
      <calculatedColumnFormula array="1">SUMPRODUCT(Calculation!DA$11:DA$65*(Calculation!$FK$11:$FK$65=$B13)*IF($B$5=0,1,Calculation!$CA$11:$CA$65=$B$5))</calculatedColumnFormula>
    </tableColumn>
    <tableColumn id="7" xr3:uid="{D1427B6B-431D-49FA-A069-4BEF3675477B}" name="FGK" dataDxfId="1270">
      <calculatedColumnFormula array="1">SUMPRODUCT(Calculation!DB$11:DB$65*(Calculation!$FK$11:$FK$65=$B13)*IF($B$5=0,1,Calculation!$CA$11:$CA$65=$B$5))</calculatedColumnFormula>
    </tableColumn>
    <tableColumn id="8" xr3:uid="{8208A4F8-C9B4-4346-97CA-93F4F74A2459}" name="FK" dataDxfId="1269">
      <calculatedColumnFormula>SUM($C13:$I13)</calculatedColumnFormula>
    </tableColumn>
    <tableColumn id="9" xr3:uid="{EA20F4B9-4924-47C1-9290-6DB4F688AAB6}" name="D Mat." dataDxfId="1268">
      <calculatedColumnFormula array="1">SUMPRODUCT(Calculation!DD$11:DD$65*(Calculation!$FK$11:$FK$65=$B13)*IF($B$5=0,1,Calculation!$CA$11:$CA$65=$B$5))</calculatedColumnFormula>
    </tableColumn>
    <tableColumn id="10" xr3:uid="{7D289762-549C-47DD-A283-EA1EFC7D65C6}" name="Zukauf" dataDxfId="1267">
      <calculatedColumnFormula array="1">SUMPRODUCT(Calculation!DP$11:DP$65*(Calculation!$FK$11:$FK$65=$B13)*IF($B$5=0,0,Calculation!$CB$11:$CB$65=$B$5))
+SUMPRODUCT(Calculation!DP$11:DU$65*(Calculation!$FK$11:$FK$65=$B13)*IF($B$5=0,0,Calculation!$CC$11:$CC$65=$B$5))</calculatedColumnFormula>
    </tableColumn>
    <tableColumn id="11" xr3:uid="{A842D693-4F9C-4A8A-9B3F-C4340B5D9DCE}" name="D. Mat" dataDxfId="1266">
      <calculatedColumnFormula>SUM($K13:$L13)</calculatedColumnFormula>
    </tableColumn>
    <tableColumn id="12" xr3:uid="{5430DB46-CE08-42F6-9042-E6E97CED5628}" name="Auss. M" dataDxfId="1265">
      <calculatedColumnFormula array="1">SUMPRODUCT(Calculation!DE$11:DE$65*(Calculation!$FK$11:$FK$65=$B13)*IF($B$5=0,1,Calculation!$CA$11:$CA$65=$B$5))
+SUMPRODUCT(Calculation!DQ$11:DQ$65*(Calculation!$FK$11:$FK$65=$B13)*IF($B$5=0,0,Calculation!$CB$11:$CB$65=$B$5))
+SUMPRODUCT(Calculation!DW$11:DW$65*(Calculation!$FK$11:$FK$65=$B13)*IF($B$5=0,0,Calculation!$CC$11:$CC$65=$B$5))</calculatedColumnFormula>
    </tableColumn>
    <tableColumn id="37" xr3:uid="{6BD6918F-DE72-41C0-A87A-FA8B53CE09ED}" name="MGK" dataDxfId="1264">
      <calculatedColumnFormula array="1">SUMPRODUCT(Calculation!DF$11:DF$65*(Calculation!$FK$11:$FK$65=$B13)*IF($B$5=0,1,Calculation!$CA$11:$CA$65=$B$5))
+SUMPRODUCT(Calculation!DR$11:DR$65*(Calculation!$FK$11:$FK$65=$B13)*IF($B$5=0,0,Calculation!$CB$11:$CB$65=$B$5))
+SUMPRODUCT(Calculation!DX$11:DX$65*(Calculation!$FK$11:$FK$65=$B13)*IF($B$5=0,0,Calculation!$CC$11:$CC$65=$B$5))</calculatedColumnFormula>
    </tableColumn>
    <tableColumn id="38" xr3:uid="{A05B744A-A7D6-4D56-B9A9-12CF2AB50799}" name="MK" dataDxfId="1263">
      <calculatedColumnFormula>SUM($M13:$O13)</calculatedColumnFormula>
    </tableColumn>
    <tableColumn id="13" xr3:uid="{CBE10A1B-78BB-42F2-A591-941A9D002647}" name="HK" dataDxfId="1262">
      <calculatedColumnFormula>$J13+$P13</calculatedColumnFormula>
    </tableColumn>
    <tableColumn id="14" xr3:uid="{3A619801-3E4C-4DE5-A80C-3FBD34FCA29E}" name="VVGK W" dataDxfId="1261">
      <calculatedColumnFormula array="1">SUMPRODUCT(Calculation!DI$11:DI$65*(Calculation!$FK$11:$FK$65=$B13)*IF($B$5=0,1,Calculation!$CA$11:$CA$65=$B$5))</calculatedColumnFormula>
    </tableColumn>
    <tableColumn id="23" xr3:uid="{1293764B-46D8-4828-B1FB-22E00F042D1F}" name="VVGK M" dataDxfId="1260">
      <calculatedColumnFormula array="1">SUMPRODUCT(Calculation!DJ$11:DJ$65*(Calculation!$FK$11:$FK$65=$B13)*IF($B$5=0,1,Calculation!$CA$11:$CA$65=$B$5))
+(SUMPRODUCT(Calculation!DS$11:DS$65*(Calculation!$FK$11:$FK$65=$B13)*IF($B$5=0,0,Calculation!$CB$11:$CB$65=$B$5))
+SUMPRODUCT(Calculation!DY$11:DY$65*(Calculation!$FK$11:$FK$65=$B13)*IF($B$5=0,0,Calculation!$CC$11:$CC$65=$B$5)))*IF(INDEX(Settings[],MATCH(3001,Settings[ID],0),2)="B",1,0)</calculatedColumnFormula>
    </tableColumn>
    <tableColumn id="22" xr3:uid="{DCB2F87B-BF78-47DD-9CE5-AF54473EBED5}" name="VVGK" dataDxfId="1259">
      <calculatedColumnFormula array="1">SUMPRODUCT(Calculation!DK$11:DK$65*(Calculation!$FK$11:$FK$65=$B13)*IF($B$5=0,1,Calculation!$CA$11:$CA$65=$B$5))
+(SUMPRODUCT(Calculation!DS$11:DS$65*(Calculation!$FK$11:$FK$65=$B13)*IF($B$5=0,0,Calculation!$CB$11:$CB$65=$B$5))
+SUMPRODUCT(Calculation!DY$11:DY$65*(Calculation!$FK$11:$FK$65=$B13)*IF($B$5=0,0,Calculation!$CC$11:$CC$65=$B$5)))*IF(INDEX(Settings[],MATCH(3001,Settings[ID],0),2)="B",0,1)</calculatedColumnFormula>
    </tableColumn>
    <tableColumn id="21" xr3:uid="{B40BC008-26EE-4C69-95E5-5942E9B5BD58}" name="Gew.W" dataDxfId="1258">
      <calculatedColumnFormula array="1">SUMPRODUCT(Calculation!DL$11:DL$65*(Calculation!$FK$11:$FK$65=$B13)*IF($B$5=0,1,Calculation!$CA$11:$CA$65=$B$5))</calculatedColumnFormula>
    </tableColumn>
    <tableColumn id="20" xr3:uid="{C94B810A-362E-4064-858B-816A524CCD02}" name="Gew. M" dataDxfId="1257">
      <calculatedColumnFormula array="1">SUMPRODUCT(Calculation!DM$11:DM$65*(Calculation!$FK$11:$FK$65=$B13)*IF($B$5=0,1,Calculation!$CA$11:$CA$65=$B$5))
+(SUMPRODUCT(Calculation!DT$11:DT$65*(Calculation!$FK$11:$FK$65=$B13)*IF($B$5=0,0,Calculation!$CB$11:$CB$65=$B$5))
+SUMPRODUCT(Calculation!DZ$11:DZ$65*(Calculation!$FK$11:$FK$65=$B13)*IF($B$5=0,0,Calculation!$CC$11:$CC$65=$B$5)))*IF(INDEX(Settings[],MATCH(3002,Settings[ID],0),2)="B",1,0)</calculatedColumnFormula>
    </tableColumn>
    <tableColumn id="15" xr3:uid="{26178E12-F421-4751-B4D7-9E9E1EBB6D6E}" name="Gewinn" dataDxfId="1256">
      <calculatedColumnFormula array="1">SUMPRODUCT(Calculation!DN$11:DN$65*(Calculation!$FK$11:$FK$65=$B13)*IF($B$5=0,1,Calculation!$CA$11:$CA$65=$B$5))
+(SUMPRODUCT(Calculation!DT$11:DT$65*(Calculation!$FK$11:$FK$65=$B13)*IF($B$5=0,0,Calculation!$CB$11:$CB$65=$B$5))
+SUMPRODUCT(Calculation!DZ$11:DZ$65*(Calculation!$FK$11:$FK$65=$B13)*IF($B$5=0,0,Calculation!$CC$11:$CC$65=$B$5)))*IF(INDEX(Settings[],MATCH(3002,Settings[ID],0),2)="B",0,1)</calculatedColumnFormula>
    </tableColumn>
    <tableColumn id="16" xr3:uid="{6588C294-8227-43DD-8081-A1CE160A610F}" name="Sonstige" dataDxfId="1255">
      <calculatedColumnFormula array="1">SUMPRODUCT(Calculation!DO$11:DO$65*(Calculation!$FK$11:$FK$65=$B13)*IF($B$5=0,1,Calculation!$CA$11:$CA$65=$B$5))
+SUMPRODUCT(Calculation!DU$11:DU$65*(Calculation!$FK$11:$FK$65=$B13)*IF($B$5=0,0,Calculation!$CB$11:$CB$65=$B$5))
+SUMPRODUCT(Calculation!EA$11:EA$65*(Calculation!$FK$11:$FK$65=$B13)*IF($B$5=0,0,Calculation!$CC$11:$CC$65=$B$5))</calculatedColumnFormula>
    </tableColumn>
    <tableColumn id="17" xr3:uid="{B6CC513B-FFCD-4E55-9398-6106FA47A4A9}" name="Preis" dataDxfId="1254">
      <calculatedColumnFormula>SUM($Q13:$X13)</calculatedColumnFormula>
    </tableColumn>
    <tableColumn id="35" xr3:uid="{CEECFEB4-B3BD-4088-BEBA-7986CC979243}" name="Auss." dataDxfId="1253">
      <calculatedColumnFormula array="1">SUMPRODUCT(Calculation!DQ$11:DQ$65*(Calculation!$FK$11:$FK$65=$B13)*IF($B$5=0,1,0))</calculatedColumnFormula>
    </tableColumn>
    <tableColumn id="36" xr3:uid="{91C5658E-B0C3-4465-A5BF-55DC54B561BD}" name="MGK2" dataDxfId="1252">
      <calculatedColumnFormula array="1">SUMPRODUCT(Calculation!DR$11:DR$65*(Calculation!$FK$11:$FK$65=$B13)*IF($B$5=0,1,0))</calculatedColumnFormula>
    </tableColumn>
    <tableColumn id="33" xr3:uid="{5DC123D6-5AC3-4B45-A8F8-8E9CAA9467ED}" name="VVGK3" dataDxfId="1251">
      <calculatedColumnFormula array="1">SUMPRODUCT(Calculation!DS$11:DS$65*(Calculation!$FK$11:$FK$65=$B13)*IF($B$5=0,1,0))</calculatedColumnFormula>
    </tableColumn>
    <tableColumn id="34" xr3:uid="{7AA564E4-380F-4546-8521-BA00252DAC33}" name="Gewinn4" dataDxfId="1250">
      <calculatedColumnFormula array="1">SUMPRODUCT(Calculation!DT$11:DT$65*(Calculation!$FK$11:$FK$65=$B13)*IF($B$5=0,1,0))</calculatedColumnFormula>
    </tableColumn>
    <tableColumn id="31" xr3:uid="{A4C92743-F56C-44D8-964B-97207385E2DD}" name="Sonstige5" dataDxfId="1249">
      <calculatedColumnFormula array="1">SUMPRODUCT(Calculation!DU$11:DU$65*(Calculation!$FK$11:$FK$65=$B13)*IF($B$5=0,1,0))</calculatedColumnFormula>
    </tableColumn>
    <tableColumn id="32" xr3:uid="{6FFFE69D-4592-4777-B00C-28E460AF400B}" name="Preis6" dataDxfId="1248">
      <calculatedColumnFormula>IF(SUM($Z13:$AD13)=0,0,SUM($Y13:$AD13))</calculatedColumnFormula>
    </tableColumn>
    <tableColumn id="29" xr3:uid="{0CAFB2C4-B165-4571-A59C-79984226FEB9}" name="Auss.7" dataDxfId="1247">
      <calculatedColumnFormula array="1">SUMPRODUCT(Calculation!DW$11:DW$65*(Calculation!$FK$11:$FK$65=$B13)*IF($B$5=0,1,0))</calculatedColumnFormula>
    </tableColumn>
    <tableColumn id="30" xr3:uid="{3653C125-7548-4604-834E-C32B422E40EE}" name="MGK8" dataDxfId="1246">
      <calculatedColumnFormula array="1">SUMPRODUCT(Calculation!DX$11:DX$65*(Calculation!$FK$11:$FK$65=$B13)*IF($B$5=0,1,0))</calculatedColumnFormula>
    </tableColumn>
    <tableColumn id="26" xr3:uid="{8224AEF4-9D67-4A5C-ABD9-EAB59D31A496}" name="VVGK9" dataDxfId="1245">
      <calculatedColumnFormula array="1">SUMPRODUCT(Calculation!DY$11:DY$65*(Calculation!$FK$11:$FK$65=$B13)*IF($B$5=0,1,0))</calculatedColumnFormula>
    </tableColumn>
    <tableColumn id="28" xr3:uid="{D0F5EF30-A78C-4F28-A3CA-810943134246}" name="Gewinn10" dataDxfId="1244">
      <calculatedColumnFormula array="1">SUMPRODUCT(Calculation!DZ$11:DZ$65*(Calculation!$FK$11:$FK$65=$B13)*IF($B$5=0,1,0))</calculatedColumnFormula>
    </tableColumn>
    <tableColumn id="24" xr3:uid="{A28DBC97-3622-4074-BCCA-F4A29531E56A}" name="Sonstige11" dataDxfId="1243">
      <calculatedColumnFormula array="1">SUMPRODUCT(Calculation!EA$11:EA$65*(Calculation!$FK$11:$FK$65=$B13)*IF($B$5=0,1,0))</calculatedColumnFormula>
    </tableColumn>
    <tableColumn id="25" xr3:uid="{FB224C48-8C9E-4449-860B-6CA288442519}" name="Preis12" dataDxfId="1242">
      <calculatedColumnFormula>IF(SUM(Cluster2[[Auss.7]:[Sonstige11]])=0,0,SUM($Y13:$AD13,$AF13:$AJ13))</calculatedColumnFormula>
    </tableColumn>
    <tableColumn id="27" xr3:uid="{10606E97-CC8A-4E69-B998-6ED469F46DF1}" name=" " dataDxfId="1241">
      <calculatedColumnFormula>IF($B$5=0,$AK13,$Y13)</calculatedColumnFormula>
    </tableColumn>
  </tableColumns>
  <tableStyleInfo name="Tabellenformat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4DCB7E4-2C79-4E21-8320-861FBDAEC3AC}" name="Cluster3" displayName="Cluster3" ref="B19:AL22" totalsRowShown="0" headerRowDxfId="1240" dataDxfId="1238" headerRowBorderDxfId="1239" tableBorderDxfId="1237" totalsRowBorderDxfId="1236">
  <tableColumns count="37">
    <tableColumn id="1" xr3:uid="{C9BA3B31-37A1-4722-B750-FE88DA7F0D34}" name="Cluster 3" dataDxfId="1235"/>
    <tableColumn id="2" xr3:uid="{B6691E31-92B7-4184-B51E-5B91D9C066B8}" name="Masch." dataDxfId="1234">
      <calculatedColumnFormula array="1">SUMPRODUCT(Calculation!CV$11:CV$65*(Calculation!$FL$11:$FL$65=$B20)*IF($B$5=0,1,Calculation!$CA$11:$CA$65=$B$5))</calculatedColumnFormula>
    </tableColumn>
    <tableColumn id="3" xr3:uid="{C79D0D6E-8781-498B-958A-9D21315C4BC1}" name="Rüsten" dataDxfId="1233">
      <calculatedColumnFormula array="1">SUMPRODUCT(Calculation!CW$11:CW$65*(Calculation!$FL$11:$FL$65=$B20)*IF($B$5=0,1,Calculation!$CA$11:$CA$65=$B$5))</calculatedColumnFormula>
    </tableColumn>
    <tableColumn id="4" xr3:uid="{667C2C04-061A-4D25-8FB4-C33B582D4C0D}" name="AK" dataDxfId="1232">
      <calculatedColumnFormula array="1">SUMPRODUCT(Calculation!CX$11:CX$65*(Calculation!$FL$11:$FL$65=$B20)*IF($B$5=0,1,Calculation!$CA$11:$CA$65=$B$5))</calculatedColumnFormula>
    </tableColumn>
    <tableColumn id="5" xr3:uid="{212FA162-2855-49C2-BB3B-002EF3D97C02}" name="Wzg." dataDxfId="1231">
      <calculatedColumnFormula array="1">SUMPRODUCT(Calculation!CY$11:CY$65*(Calculation!$FL$11:$FL$65=$B20)*IF($B$5=0,1,Calculation!$CA$11:$CA$65=$B$5))</calculatedColumnFormula>
    </tableColumn>
    <tableColumn id="19" xr3:uid="{109A7782-70C8-4E67-8CAE-E4647A42CCB5}" name="V.-Wzg." dataDxfId="1230">
      <calculatedColumnFormula array="1">SUMPRODUCT(Calculation!CZ$11:CZ$65*(Calculation!$FL$11:$FL$65=$B20)*IF($B$5=0,1,Calculation!$CA$11:$CA$65=$B$5))</calculatedColumnFormula>
    </tableColumn>
    <tableColumn id="6" xr3:uid="{508C355A-2A24-4B07-9BC4-E800C33E68EF}" name="Auss. W" dataDxfId="1229">
      <calculatedColumnFormula array="1">SUMPRODUCT(Calculation!DA$11:DA$65*(Calculation!$FL$11:$FL$65=$B20)*IF($B$5=0,1,Calculation!$CA$11:$CA$65=$B$5))</calculatedColumnFormula>
    </tableColumn>
    <tableColumn id="7" xr3:uid="{8809D46F-37F1-49BA-A0CF-DE88FCA4D788}" name="FGK" dataDxfId="1228">
      <calculatedColumnFormula array="1">SUMPRODUCT(Calculation!DB$11:DB$65*(Calculation!$FL$11:$FL$65=$B20)*IF($B$5=0,1,Calculation!$CA$11:$CA$65=$B$5))</calculatedColumnFormula>
    </tableColumn>
    <tableColumn id="8" xr3:uid="{0BA202ED-65FD-435F-8B2D-02AE986952D5}" name="FK" dataDxfId="1227">
      <calculatedColumnFormula>SUM($C20:$I20)</calculatedColumnFormula>
    </tableColumn>
    <tableColumn id="9" xr3:uid="{6F24E610-C1F6-4697-9A83-9D26ECC51B10}" name="D Mat." dataDxfId="1226">
      <calculatedColumnFormula array="1">SUMPRODUCT(Calculation!DD$11:DD$65*(Calculation!$FL$11:$FL$65=$B20)*IF($B$5=0,1,Calculation!$CA$11:$CA$65=$B$5))</calculatedColumnFormula>
    </tableColumn>
    <tableColumn id="10" xr3:uid="{C6A2972A-5379-4370-A718-BE8F414141E4}" name="Zukauf" dataDxfId="1225">
      <calculatedColumnFormula array="1">SUMPRODUCT(Calculation!DP$11:DP$65*(Calculation!$FL$11:$FL$65=$B20)*IF($B$5=0,0,Calculation!$CB$11:$CB$65=$B$5))
+SUMPRODUCT(Calculation!DP$11:DU$65*(Calculation!$FL$11:$FL$65=$B20)*IF($B$5=0,0,Calculation!$CC$11:$CC$65=$B$5))</calculatedColumnFormula>
    </tableColumn>
    <tableColumn id="11" xr3:uid="{09200F2A-FDD9-4CE7-8EE7-60A58AF9633D}" name="D. Mat" dataDxfId="1224">
      <calculatedColumnFormula>SUM($K20:$L20)</calculatedColumnFormula>
    </tableColumn>
    <tableColumn id="12" xr3:uid="{023CA878-FC54-4F64-8501-1D0D13D9E4EF}" name="Auss. M" dataDxfId="1223">
      <calculatedColumnFormula array="1">SUMPRODUCT(Calculation!DE$11:DE$65*(Calculation!$FL$11:$FL$65=$B20)*IF($B$5=0,1,Calculation!$CA$11:$CA$65=$B$5))
+SUMPRODUCT(Calculation!DQ$11:DQ$65*(Calculation!$FL$11:$FL$65=$B20)*IF($B$5=0,0,Calculation!$CB$11:$CB$65=$B$5))
+SUMPRODUCT(Calculation!DW$11:DW$65*(Calculation!$FL$11:$FL$65=$B20)*IF($B$5=0,0,Calculation!$CC$11:$CC$65=$B$5))</calculatedColumnFormula>
    </tableColumn>
    <tableColumn id="36" xr3:uid="{21378EF8-599C-435F-81DB-605CABDE9CC7}" name="MGK" dataDxfId="1222">
      <calculatedColumnFormula array="1">SUMPRODUCT(Calculation!DF$11:DF$65*(Calculation!$FL$11:$FL$65=$B20)*IF($B$5=0,1,Calculation!$CA$11:$CA$65=$B$5))
+SUMPRODUCT(Calculation!DR$11:DR$65*(Calculation!$FL$11:$FL$65=$B20)*IF($B$5=0,0,Calculation!$CB$11:$CB$65=$B$5))
+SUMPRODUCT(Calculation!DX$11:DX$65*(Calculation!$FL$11:$FL$65=$B20)*IF($B$5=0,0,Calculation!$CC$11:$CC$65=$B$5))</calculatedColumnFormula>
    </tableColumn>
    <tableColumn id="37" xr3:uid="{48F56E99-18D3-48AB-93EF-390CBE09D31E}" name="MK" dataDxfId="1221">
      <calculatedColumnFormula>SUM($M20:$O20)</calculatedColumnFormula>
    </tableColumn>
    <tableColumn id="13" xr3:uid="{2ECA11EB-5D34-49B3-88D6-7FC862D2605F}" name="HK" dataDxfId="1220">
      <calculatedColumnFormula>$J20+$P20</calculatedColumnFormula>
    </tableColumn>
    <tableColumn id="14" xr3:uid="{A1EE6844-55A5-4891-8C1A-2BF0C7FA124F}" name="VVGK W" dataDxfId="1219">
      <calculatedColumnFormula array="1">SUMPRODUCT(Calculation!DI$11:DI$65*(Calculation!$FL$11:$FL$65=$B20)*IF($B$5=0,1,Calculation!$CA$11:$CA$65=$B$5))</calculatedColumnFormula>
    </tableColumn>
    <tableColumn id="23" xr3:uid="{09C5113D-9299-4242-AC68-54D09EAA7848}" name="VVGK M" dataDxfId="1218">
      <calculatedColumnFormula array="1">SUMPRODUCT(Calculation!DJ$11:DJ$65*(Calculation!$FL$11:$FL$65=$B20)*IF($B$5=0,1,Calculation!$CA$11:$CA$65=$B$5))
+(SUMPRODUCT(Calculation!DS$11:DS$65*(Calculation!$FL$11:$FL$65=$B20)*IF($B$5=0,0,Calculation!$CB$11:$CB$65=$B$5))
+SUMPRODUCT(Calculation!DY$11:DY$65*(Calculation!$FL$11:$FL$65=$B20)*IF($B$5=0,0,Calculation!$CC$11:$CC$65=$B$5)))*IF(INDEX(Settings[],MATCH(3001,Settings[ID],0),2)="B",1,0)</calculatedColumnFormula>
    </tableColumn>
    <tableColumn id="22" xr3:uid="{C9472EA1-BF73-4F71-B366-5A4F0E7E7110}" name="VVGK" dataDxfId="1217">
      <calculatedColumnFormula array="1">SUMPRODUCT(Calculation!DK$11:DK$65*(Calculation!$FL$11:$FL$65=$B20)*IF($B$5=0,1,Calculation!$CA$11:$CA$65=$B$5))
+(SUMPRODUCT(Calculation!DS$11:DS$65*(Calculation!$FL$11:$FL$65=$B20)*IF($B$5=0,0,Calculation!$CB$11:$CB$65=$B$5))
+SUMPRODUCT(Calculation!DY$11:DY$65*(Calculation!$FL$11:$FL$65=$B20)*IF($B$5=0,0,Calculation!$CC$11:$CC$65=$B$5)))*IF(INDEX(Settings[],MATCH(3001,Settings[ID],0),2)="B",0,1)</calculatedColumnFormula>
    </tableColumn>
    <tableColumn id="21" xr3:uid="{85CF36C1-E2F7-4B75-A9F0-DF3EB7B6DD83}" name="Gew.W" dataDxfId="1216">
      <calculatedColumnFormula array="1">SUMPRODUCT(Calculation!DL$11:DL$65*(Calculation!$FL$11:$FL$65=$B20)*IF($B$5=0,1,Calculation!$CA$11:$CA$65=$B$5))</calculatedColumnFormula>
    </tableColumn>
    <tableColumn id="20" xr3:uid="{1C2A3245-88D4-447E-B5E0-C61959E8826A}" name="Gew. M" dataDxfId="1215">
      <calculatedColumnFormula array="1">SUMPRODUCT(Calculation!DM$11:DM$65*(Calculation!$FL$11:$FL$65=$B20)*IF($B$5=0,1,Calculation!$CA$11:$CA$65=$B$5))
+(SUMPRODUCT(Calculation!DT$11:DT$65*(Calculation!$FL$11:$FL$65=$B20)*IF($B$5=0,0,Calculation!$CB$11:$CB$65=$B$5))
+SUMPRODUCT(Calculation!DZ$11:DZ$65*(Calculation!$FL$11:$FL$65=$B20)*IF($B$5=0,0,Calculation!$CC$11:$CC$65=$B$5)))*IF(INDEX(Settings[],MATCH(3002,Settings[ID],0),2)="B",1,0)</calculatedColumnFormula>
    </tableColumn>
    <tableColumn id="15" xr3:uid="{DB7CE807-EAAA-4434-99DE-4B896F372CDF}" name="Gewinn" dataDxfId="1214">
      <calculatedColumnFormula array="1">SUMPRODUCT(Calculation!DN$11:DN$65*(Calculation!$FL$11:$FL$65=$B20)*IF($B$5=0,1,Calculation!$CA$11:$CA$65=$B$5))
+(SUMPRODUCT(Calculation!DT$11:DT$65*(Calculation!$FL$11:$FL$65=$B20)*IF($B$5=0,0,Calculation!$CB$11:$CB$65=$B$5))
+SUMPRODUCT(Calculation!DZ$11:DZ$65*(Calculation!$FL$11:$FL$65=$B20)*IF($B$5=0,0,Calculation!$CC$11:$CC$65=$B$5)))*IF(INDEX(Settings[],MATCH(3002,Settings[ID],0),2)="B",0,1)</calculatedColumnFormula>
    </tableColumn>
    <tableColumn id="16" xr3:uid="{9A93E5B8-B2CE-427D-87B0-05F67FCAC3D2}" name="Sonstige" dataDxfId="1213">
      <calculatedColumnFormula array="1">SUMPRODUCT(Calculation!DO$11:DO$65*(Calculation!$FL$11:$FL$65=$B20)*IF($B$5=0,1,Calculation!$CA$11:$CA$65=$B$5))
+SUMPRODUCT(Calculation!DU$11:DU$65*(Calculation!$FL$11:$FL$65=$B20)*IF($B$5=0,0,Calculation!$CB$11:$CB$65=$B$5))
+SUMPRODUCT(Calculation!EA$11:EA$65*(Calculation!$FL$11:$FL$65=$B20)*IF($B$5=0,0,Calculation!$CC$11:$CC$65=$B$5))</calculatedColumnFormula>
    </tableColumn>
    <tableColumn id="17" xr3:uid="{63A9124B-C58B-4B6D-8F67-C75B703626EE}" name="Preis" dataDxfId="1212">
      <calculatedColumnFormula>SUM($Q20:$X20)</calculatedColumnFormula>
    </tableColumn>
    <tableColumn id="35" xr3:uid="{9AA2C5E4-39E5-499A-A9D9-9B366002460C}" name="Auss." dataDxfId="1211">
      <calculatedColumnFormula array="1">SUMPRODUCT(Calculation!DQ$11:DQ$65*(Calculation!$FL$11:$FL$65=$B20)*IF($B$5=0,1,0))</calculatedColumnFormula>
    </tableColumn>
    <tableColumn id="34" xr3:uid="{6B947F86-FEFF-44C8-994F-DEC5E28B4A39}" name="MGK2" dataDxfId="1210">
      <calculatedColumnFormula array="1">SUMPRODUCT(Calculation!DR$11:DR$65*(Calculation!$FL$11:$FL$65=$B20)*IF($B$5=0,1,0))</calculatedColumnFormula>
    </tableColumn>
    <tableColumn id="33" xr3:uid="{BFD14D0F-9B5F-4958-8192-20F3A61D3D38}" name="VVGK3" dataDxfId="1209">
      <calculatedColumnFormula array="1">SUMPRODUCT(Calculation!DS$11:DS$65*(Calculation!$FL$11:$FL$65=$B20)*IF($B$5=0,1,0))</calculatedColumnFormula>
    </tableColumn>
    <tableColumn id="32" xr3:uid="{4FABD92C-82DF-4B94-A898-C9D7CF45BB99}" name="Gewinn4" dataDxfId="1208">
      <calculatedColumnFormula array="1">SUMPRODUCT(Calculation!DT$11:DT$65*(Calculation!$FL$11:$FL$65=$B20)*IF($B$5=0,1,0))</calculatedColumnFormula>
    </tableColumn>
    <tableColumn id="31" xr3:uid="{3E3A2A1A-2D20-488D-BE7F-F2ADDDC90B64}" name="Sonstige5" dataDxfId="1207">
      <calculatedColumnFormula array="1">SUMPRODUCT(Calculation!DU$11:DU$65*(Calculation!$FL$11:$FL$65=$B20)*IF($B$5=0,1,0))</calculatedColumnFormula>
    </tableColumn>
    <tableColumn id="30" xr3:uid="{23EC578B-5C35-4BAD-9F29-A46DD54BF5BA}" name="Preis6" dataDxfId="1206">
      <calculatedColumnFormula>IF(SUM($Z20:$AD20)=0,0,SUM($Y20:$AD20))</calculatedColumnFormula>
    </tableColumn>
    <tableColumn id="29" xr3:uid="{97556D12-9DD6-4075-BA84-51719A18CFF9}" name="Auss.7" dataDxfId="1205">
      <calculatedColumnFormula array="1">SUMPRODUCT(Calculation!DW$11:DW$65*(Calculation!$FL$11:$FL$65=$B20)*IF($B$5=0,1,0))</calculatedColumnFormula>
    </tableColumn>
    <tableColumn id="28" xr3:uid="{80D717DB-A6B2-4287-9573-54B9D382F568}" name="MGK8" dataDxfId="1204">
      <calculatedColumnFormula array="1">SUMPRODUCT(Calculation!DX$11:DX$65*(Calculation!$FL$11:$FL$65=$B20)*IF($B$5=0,1,0))</calculatedColumnFormula>
    </tableColumn>
    <tableColumn id="26" xr3:uid="{342CB0EC-F19A-4D30-B539-1852122E31B1}" name="VVGK9" dataDxfId="1203">
      <calculatedColumnFormula array="1">SUMPRODUCT(Calculation!DY$11:DY$65*(Calculation!$FL$11:$FL$65=$B20)*IF($B$5=0,1,0))</calculatedColumnFormula>
    </tableColumn>
    <tableColumn id="25" xr3:uid="{3B99D701-FA73-4AAE-A4D6-D1EF18C2C4FE}" name="Gewinn10" dataDxfId="1202">
      <calculatedColumnFormula array="1">SUMPRODUCT(Calculation!DZ$11:DZ$65*(Calculation!$FL$11:$FL$65=$B20)*IF($B$5=0,1,0))</calculatedColumnFormula>
    </tableColumn>
    <tableColumn id="24" xr3:uid="{19C54E0A-8195-45B1-B917-A247E6FAAAFA}" name="Sonstige11" dataDxfId="1201">
      <calculatedColumnFormula array="1">SUMPRODUCT(Calculation!EA$11:EA$65*(Calculation!$FL$11:$FL$65=$B20)*IF($B$5=0,1,0))</calculatedColumnFormula>
    </tableColumn>
    <tableColumn id="18" xr3:uid="{AA063C5A-B81F-4F60-9152-ADE0F128C769}" name="Preis12" dataDxfId="1200">
      <calculatedColumnFormula>IF(SUM(Cluster3[[Auss.7]:[Sonstige11]])=0,0,SUM($Y20:$AD20,$AF20:$AJ20))</calculatedColumnFormula>
    </tableColumn>
    <tableColumn id="27" xr3:uid="{C143D777-56CC-43BA-B6B6-6854A6FE1977}" name=" " dataDxfId="1199">
      <calculatedColumnFormula>IF($B$5=0,$AK20,$Y20)</calculatedColumnFormula>
    </tableColumn>
  </tableColumns>
  <tableStyleInfo name="Tabellenformat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D03520B-D132-4E4E-BDB7-4D2095F7945A}" name="ClusterSupplyChain" displayName="ClusterSupplyChain" ref="B26:AL30" totalsRowShown="0" headerRowDxfId="1198" dataDxfId="1196" headerRowBorderDxfId="1197" tableBorderDxfId="1195" totalsRowBorderDxfId="1194">
  <tableColumns count="37">
    <tableColumn id="1" xr3:uid="{FC1473FA-70DD-4754-9A46-AAE42A5662F5}" name="Supply chain" dataDxfId="1193"/>
    <tableColumn id="2" xr3:uid="{F0073339-EF3B-43F7-B258-A8D3C6A594B6}" name="Masch." dataDxfId="1192">
      <calculatedColumnFormula array="1">SUMPRODUCT(Calculation!CV$11:CV$65*(Calculation!$BZ$11:$BZ$65=$B27)*IF($B$5=0,1,Calculation!$CA$11:$CA$65=$B$5))</calculatedColumnFormula>
    </tableColumn>
    <tableColumn id="3" xr3:uid="{21B5D809-1C51-4816-A7C3-6A564766FC49}" name="Rüsten" dataDxfId="1191">
      <calculatedColumnFormula array="1">SUMPRODUCT(Calculation!CW$11:CW$65*(Calculation!$BZ$11:$BZ$65=$B27)*IF($B$5=0,1,Calculation!$CA$11:$CA$65=$B$5))</calculatedColumnFormula>
    </tableColumn>
    <tableColumn id="4" xr3:uid="{3950C2B7-E892-41CF-A2C9-BB2F331E1B14}" name="AK" dataDxfId="1190">
      <calculatedColumnFormula array="1">SUMPRODUCT(Calculation!CX$11:CX$65*(Calculation!$BZ$11:$BZ$65=$B27)*IF($B$5=0,1,Calculation!$CA$11:$CA$65=$B$5))</calculatedColumnFormula>
    </tableColumn>
    <tableColumn id="5" xr3:uid="{960AC10E-BD9D-459D-A0C2-4CDC609A2082}" name="Wzg." dataDxfId="1189">
      <calculatedColumnFormula array="1">SUMPRODUCT(Calculation!CY$11:CY$65*(Calculation!$BZ$11:$BZ$65=$B27)*IF($B$5=0,1,Calculation!$CA$11:$CA$65=$B$5))</calculatedColumnFormula>
    </tableColumn>
    <tableColumn id="19" xr3:uid="{E40DA58B-4013-4EC7-87F8-6C65CD297F60}" name="V.-Wzg." dataDxfId="1188">
      <calculatedColumnFormula array="1">SUMPRODUCT(Calculation!CZ$11:CZ$65*(Calculation!$BZ$11:$BZ$65=$B27)*IF($B$5=0,1,Calculation!$CA$11:$CA$65=$B$5))</calculatedColumnFormula>
    </tableColumn>
    <tableColumn id="6" xr3:uid="{ADBCA8C4-1601-4B47-84EE-E81C7F0D4ACF}" name="Auss. W" dataDxfId="1187">
      <calculatedColumnFormula array="1">SUMPRODUCT(Calculation!DA$11:DA$65*(Calculation!$BZ$11:$BZ$65=$B27)*IF($B$5=0,1,Calculation!$CA$11:$CA$65=$B$5))</calculatedColumnFormula>
    </tableColumn>
    <tableColumn id="7" xr3:uid="{03710520-094F-4811-8C76-724EDD2CFEDF}" name="FGK" dataDxfId="1186">
      <calculatedColumnFormula array="1">SUMPRODUCT(Calculation!DB$11:DB$65*(Calculation!$BZ$11:$BZ$65=$B27)*IF($B$5=0,1,Calculation!$CA$11:$CA$65=$B$5))</calculatedColumnFormula>
    </tableColumn>
    <tableColumn id="8" xr3:uid="{2E49BE18-CC77-48F6-AA49-E84C0C548BE4}" name="FK" dataDxfId="1185">
      <calculatedColumnFormula>SUM($C27:$I27)</calculatedColumnFormula>
    </tableColumn>
    <tableColumn id="9" xr3:uid="{1444E656-E0BF-42C7-B550-C5D11456AABA}" name="D Mat." dataDxfId="1184">
      <calculatedColumnFormula array="1">SUMPRODUCT(Calculation!DD$11:DD$65*(Calculation!$BZ$11:$BZ$65=$B27)*IF($B$5=0,1,Calculation!$CA$11:$CA$65=$B$5))</calculatedColumnFormula>
    </tableColumn>
    <tableColumn id="10" xr3:uid="{6C50813B-4DB6-46F7-86AE-10B703C87776}" name="Zukauf" dataDxfId="1183">
      <calculatedColumnFormula array="1">SUMPRODUCT(Calculation!DP$11:DP$65*(Calculation!$BZ$11:$BZ$65=$B27)*IF($B$5=0,0,Calculation!$CB$11:$CB$65=$B$5))
+SUMPRODUCT(Calculation!DP$11:DU$65*(Calculation!$BZ$11:$BZ$65=$B27)*IF($B$5=0,0,Calculation!$CC$11:$CC$65=$B$5))</calculatedColumnFormula>
    </tableColumn>
    <tableColumn id="11" xr3:uid="{FA656454-1442-4210-8741-292A13AF737D}" name="D. Mat" dataDxfId="1182">
      <calculatedColumnFormula>SUM($K27:$L27)</calculatedColumnFormula>
    </tableColumn>
    <tableColumn id="12" xr3:uid="{45075963-101F-433E-A86D-EB42D10610EE}" name="Auss. M" dataDxfId="1181">
      <calculatedColumnFormula array="1">SUMPRODUCT(Calculation!DE$11:DE$65*(Calculation!$BZ$11:$BZ$65=$B27)*IF($B$5=0,1,Calculation!$CA$11:$CA$65=$B$5))
+SUMPRODUCT(Calculation!DQ$11:DQ$65*(Calculation!$BZ$11:$BZ$65=$B27)*IF($B$5=0,0,Calculation!$CB$11:$CB$65=$B$5))
+SUMPRODUCT(Calculation!DW$11:DW$65*(Calculation!$BZ$11:$BZ$65=$B27)*IF($B$5=0,0,Calculation!$CC$11:$CC$65=$B$5))</calculatedColumnFormula>
    </tableColumn>
    <tableColumn id="36" xr3:uid="{672F378B-C2CC-4325-91D1-EAB165B65C56}" name="MGK" dataDxfId="1180">
      <calculatedColumnFormula array="1">SUMPRODUCT(Calculation!DF$11:DF$65*(Calculation!$BZ$11:$BZ$65=$B27)*IF($B$5=0,1,Calculation!$CA$11:$CA$65=$B$5))
+SUMPRODUCT(Calculation!DR$11:DR$65*(Calculation!$BZ$11:$BZ$65=$B27)*IF($B$5=0,0,Calculation!$CB$11:$CB$65=$B$5))
+SUMPRODUCT(Calculation!DX$11:DX$65*(Calculation!$BZ$11:$BZ$65=$B27)*IF($B$5=0,0,Calculation!$CC$11:$CC$65=$B$5))</calculatedColumnFormula>
    </tableColumn>
    <tableColumn id="37" xr3:uid="{04FB4C9A-A9C2-44C6-A289-308E8BD2C2FD}" name="MK" dataDxfId="1179">
      <calculatedColumnFormula>SUM($M27:$O27)</calculatedColumnFormula>
    </tableColumn>
    <tableColumn id="13" xr3:uid="{D5537069-DA9A-46A7-87FC-325D8FD8EE9C}" name="HK" dataDxfId="1178">
      <calculatedColumnFormula>$J27+$P27</calculatedColumnFormula>
    </tableColumn>
    <tableColumn id="14" xr3:uid="{FD381166-27D3-4601-931D-54ABEB0ED84F}" name="VVGK W" dataDxfId="1177">
      <calculatedColumnFormula array="1">SUMPRODUCT(Calculation!DI$11:DI$65*(Calculation!$BZ$11:$BZ$65=$B27)*IF($B$5=0,1,Calculation!$CA$11:$CA$65=$B$5))</calculatedColumnFormula>
    </tableColumn>
    <tableColumn id="23" xr3:uid="{C6D2AFC5-2BCB-4286-A6C0-095F5FFC8F3F}" name="VVGK M" dataDxfId="1176">
      <calculatedColumnFormula array="1">SUMPRODUCT(Calculation!DJ$11:DJ$65*(Calculation!$BZ$11:$BZ$65=$B27)*IF($B$5=0,1,Calculation!$CA$11:$CA$65=$B$5))
+(SUMPRODUCT(Calculation!DS$11:DS$65*(Calculation!$BZ$11:$BZ$65=$B27)*IF($B$5=0,0,Calculation!$CB$11:$CB$65=$B$5))
+SUMPRODUCT(Calculation!DY$11:DY$65*(Calculation!$BZ$11:$BZ$65=$B27)*IF($B$5=0,0,Calculation!$CC$11:$CC$65=$B$5)))*IF(INDEX(Settings[],MATCH(3001,Settings[ID],0),2)="B",1,0)</calculatedColumnFormula>
    </tableColumn>
    <tableColumn id="22" xr3:uid="{DEB54A97-DA1D-43B7-9EB5-490ED6FDD08C}" name="VVGK" dataDxfId="1175">
      <calculatedColumnFormula array="1">SUMPRODUCT(Calculation!DK$11:DK$65*(Calculation!$BZ$11:$BZ$65=$B27)*IF($B$5=0,1,Calculation!$CA$11:$CA$65=$B$5))
+(SUMPRODUCT(Calculation!DS$11:DS$65*(Calculation!$BZ$11:$BZ$65=$B27)*IF($B$5=0,0,Calculation!$CB$11:$CB$65=$B$5))
+SUMPRODUCT(Calculation!DY$11:DY$65*(Calculation!$BZ$11:$BZ$65=$B27)*IF($B$5=0,0,Calculation!$CC$11:$CC$65=$B$5)))*IF(INDEX(Settings[],MATCH(3001,Settings[ID],0),2)="B",0,1)</calculatedColumnFormula>
    </tableColumn>
    <tableColumn id="21" xr3:uid="{AB9497E9-1CCE-4635-A3DB-1F7202BB83F1}" name="Gew.W" dataDxfId="1174">
      <calculatedColumnFormula array="1">SUMPRODUCT(Calculation!DL$11:DL$65*(Calculation!$BZ$11:$BZ$65=$B27)*IF($B$5=0,1,Calculation!$CA$11:$CA$65=$B$5))</calculatedColumnFormula>
    </tableColumn>
    <tableColumn id="20" xr3:uid="{602B25B2-3CEB-4427-88B8-3B7EF0FD9B9E}" name="Gew. M" dataDxfId="1173">
      <calculatedColumnFormula array="1">SUMPRODUCT(Calculation!DM$11:DM$65*(Calculation!$BZ$11:$BZ$65=$B27)*IF($B$5=0,1,Calculation!$CA$11:$CA$65=$B$5))
+(SUMPRODUCT(Calculation!DT$11:DT$65*(Calculation!$BZ$11:$BZ$65=$B27)*IF($B$5=0,0,Calculation!$CB$11:$CB$65=$B$5))
+SUMPRODUCT(Calculation!DZ$11:DZ$65*(Calculation!$BZ$11:$BZ$65=$B27)*IF($B$5=0,0,Calculation!$CC$11:$CC$65=$B$5)))*IF(INDEX(Settings[],MATCH(3002,Settings[ID],0),2)="B",1,0)</calculatedColumnFormula>
    </tableColumn>
    <tableColumn id="15" xr3:uid="{EF0070C5-F96C-4FDA-ABD5-B922251A3BF9}" name="Gewinn" dataDxfId="1172">
      <calculatedColumnFormula array="1">SUMPRODUCT(Calculation!DN$11:DN$65*(Calculation!$BZ$11:$BZ$65=$B27)*IF($B$5=0,1,Calculation!$CA$11:$CA$65=$B$5))
+(SUMPRODUCT(Calculation!DT$11:DT$65*(Calculation!$BZ$11:$BZ$65=$B27)*IF($B$5=0,0,Calculation!$CB$11:$CB$65=$B$5))
+SUMPRODUCT(Calculation!DZ$11:DZ$65*(Calculation!$BZ$11:$BZ$65=$B27)*IF($B$5=0,0,Calculation!$CC$11:$CC$65=$B$5)))*IF(INDEX(Settings[],MATCH(3002,Settings[ID],0),2)="B",0,1)</calculatedColumnFormula>
    </tableColumn>
    <tableColumn id="16" xr3:uid="{D9AF5069-3983-48CC-9048-EC60283BF419}" name="Sonstige" dataDxfId="1171">
      <calculatedColumnFormula array="1">SUMPRODUCT(Calculation!DO$11:DO$65*(Calculation!$BZ$11:$BZ$65=$B27)*IF($B$5=0,1,Calculation!$CA$11:$CA$65=$B$5))
+SUMPRODUCT(Calculation!DU$11:DU$65*(Calculation!$BZ$11:$BZ$65=$B27)*IF($B$5=0,0,Calculation!$CB$11:$CB$65=$B$5))
+SUMPRODUCT(Calculation!EA$11:EA$65*(Calculation!$BZ$11:$BZ$65=$B27)*IF($B$5=0,0,Calculation!$CC$11:$CC$65=$B$5))</calculatedColumnFormula>
    </tableColumn>
    <tableColumn id="17" xr3:uid="{61B6ACCE-7741-41E3-9FA1-9C76C3341C56}" name="Preis" dataDxfId="1170">
      <calculatedColumnFormula>SUM($Q27:$X27)</calculatedColumnFormula>
    </tableColumn>
    <tableColumn id="35" xr3:uid="{AB77B11E-1C3D-4463-B258-054A33183C3E}" name="Auss." dataDxfId="1169">
      <calculatedColumnFormula array="1">SUMPRODUCT(Calculation!DQ$11:DQ$65*(Calculation!$BZ$11:$BZ$65=$B27)*IF($B$5=0,1,0))</calculatedColumnFormula>
    </tableColumn>
    <tableColumn id="34" xr3:uid="{FDF3FFA4-FA4D-4D01-A9DF-EA461006F630}" name="MGK2" dataDxfId="1168">
      <calculatedColumnFormula array="1">SUMPRODUCT(Calculation!DR$11:DR$65*(Calculation!$BZ$11:$BZ$65=$B27)*IF($B$5=0,1,0))</calculatedColumnFormula>
    </tableColumn>
    <tableColumn id="33" xr3:uid="{234FF143-B3E3-46CC-96F5-D352A00F8DC1}" name="VVGK3" dataDxfId="1167">
      <calculatedColumnFormula array="1">SUMPRODUCT(Calculation!DS$11:DS$65*(Calculation!$BZ$11:$BZ$65=$B27)*IF($B$5=0,1,0))</calculatedColumnFormula>
    </tableColumn>
    <tableColumn id="32" xr3:uid="{E05C3B29-5205-4529-BFE4-0BEB0FE6CD89}" name="Gewinn4" dataDxfId="1166">
      <calculatedColumnFormula array="1">SUMPRODUCT(Calculation!DT$11:DT$65*(Calculation!$BZ$11:$BZ$65=$B27)*IF($B$5=0,1,0))</calculatedColumnFormula>
    </tableColumn>
    <tableColumn id="31" xr3:uid="{8CD403B3-02B5-4C49-B9F6-E1D756A7E66E}" name="Sonstige5" dataDxfId="1165">
      <calculatedColumnFormula array="1">SUMPRODUCT(Calculation!DU$11:DU$65*(Calculation!$BZ$11:$BZ$65=$B27)*IF($B$5=0,1,0))</calculatedColumnFormula>
    </tableColumn>
    <tableColumn id="30" xr3:uid="{FFA24381-76F5-49FB-AA16-07CFF9E7BB3B}" name="Preis6" dataDxfId="1164">
      <calculatedColumnFormula>IF(SUM($Z27:$AD27)=0,0,SUM($Y27:$AD27))</calculatedColumnFormula>
    </tableColumn>
    <tableColumn id="29" xr3:uid="{03D16DBC-C5AD-4556-BB83-8717D102273E}" name="Auss.7" dataDxfId="1163">
      <calculatedColumnFormula array="1">SUMPRODUCT(Calculation!DW$11:DW$65*(Calculation!$BZ$11:$BZ$65=$B27)*IF($B$5=0,1,0))</calculatedColumnFormula>
    </tableColumn>
    <tableColumn id="28" xr3:uid="{A868B757-E47F-49FF-9879-09DE7493B3A9}" name="MGK8" dataDxfId="1162">
      <calculatedColumnFormula array="1">SUMPRODUCT(Calculation!DX$11:DX$65*(Calculation!$BZ$11:$BZ$65=$B27)*IF($B$5=0,1,0))</calculatedColumnFormula>
    </tableColumn>
    <tableColumn id="26" xr3:uid="{2F716448-D6B9-464C-B293-D9B8E3D47654}" name="VVGK9" dataDxfId="1161">
      <calculatedColumnFormula array="1">SUMPRODUCT(Calculation!DY$11:DY$65*(Calculation!$BZ$11:$BZ$65=$B27)*IF($B$5=0,1,0))</calculatedColumnFormula>
    </tableColumn>
    <tableColumn id="25" xr3:uid="{BD4B38E1-9081-4E21-B561-529234A1CC9A}" name="Gewinn10" dataDxfId="1160">
      <calculatedColumnFormula array="1">SUMPRODUCT(Calculation!DZ$11:DZ$65*(Calculation!$BZ$11:$BZ$65=$B27)*IF($B$5=0,1,0))</calculatedColumnFormula>
    </tableColumn>
    <tableColumn id="24" xr3:uid="{DDFF73D5-40BE-4896-9652-A4EC646F0F97}" name="Sonstige11" dataDxfId="1159">
      <calculatedColumnFormula array="1">SUMPRODUCT(Calculation!EA$11:EA$65*(Calculation!$BZ$11:$BZ$65=$B27)*IF($B$5=0,1,0))</calculatedColumnFormula>
    </tableColumn>
    <tableColumn id="18" xr3:uid="{ED343773-5ECE-4157-8AB8-717329D653CC}" name="Preis12" dataDxfId="1158">
      <calculatedColumnFormula>IF(SUM(ClusterSupplyChain[[Auss.7]:[Sonstige11]])=0,0,SUM($Y27:$AD27,$AF27:$AJ27))</calculatedColumnFormula>
    </tableColumn>
    <tableColumn id="27" xr3:uid="{C0884D60-BFE0-45A8-9BEB-D565DD01BA2D}" name=" " dataDxfId="1157">
      <calculatedColumnFormula>IF($B$5=0,$AK27,$Y27)</calculatedColumnFormula>
    </tableColumn>
  </tableColumns>
  <tableStyleInfo name="Tabellenformat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MHR" displayName="MHR" comment="MHR" ref="B6:AX12" totalsRowShown="0" headerRowDxfId="1156" dataDxfId="1154" headerRowBorderDxfId="1155" tableBorderDxfId="1153" totalsRowBorderDxfId="1152">
  <autoFilter ref="B6:AX12" xr:uid="{A9F5E6A4-19BB-4E5F-8342-C1334FE62C4A}"/>
  <tableColumns count="49">
    <tableColumn id="1" xr3:uid="{00000000-0010-0000-0400-000001000000}" name="Bezeichnung" dataDxfId="1151"/>
    <tableColumn id="2" xr3:uid="{00000000-0010-0000-0400-000002000000}" name="Invest (Input)" dataDxfId="1150"/>
    <tableColumn id="3" xr3:uid="{00000000-0010-0000-0400-000003000000}" name="kalk. AfA" dataDxfId="1149"/>
    <tableColumn id="4" xr3:uid="{00000000-0010-0000-0400-000004000000}" name="Strom" dataDxfId="1148"/>
    <tableColumn id="5" xr3:uid="{00000000-0010-0000-0400-000005000000}" name="Faktor_x000a_Strom" dataDxfId="1147"/>
    <tableColumn id="6" xr3:uid="{E880C28F-E5FB-452D-8640-DC60314C8933}" name="Gas" dataDxfId="1146"/>
    <tableColumn id="8" xr3:uid="{09B1EB5F-4C53-4D59-8667-435D6DCD8CD0}" name="Faktor_x000a_Gas" dataDxfId="1145"/>
    <tableColumn id="7" xr3:uid="{00000000-0010-0000-0400-000007000000}" name="Fläche" dataDxfId="1144"/>
    <tableColumn id="9" xr3:uid="{00000000-0010-0000-0400-000009000000}" name="Verbrauchsmaterial" dataDxfId="1143"/>
    <tableColumn id="10" xr3:uid="{00000000-0010-0000-0400-00000A000000}" name="Instandhaltung" dataDxfId="1142"/>
    <tableColumn id="11" xr3:uid="{00000000-0010-0000-0400-00000B000000}" name="Indirektes Personal H" dataDxfId="1141"/>
    <tableColumn id="56" xr3:uid="{638AEC64-ACD4-4BF9-9520-FEE806F702AF}" name="Indirektes Personal U" dataDxfId="1140"/>
    <tableColumn id="69" xr3:uid="{00000000-0010-0000-0400-000045000000}" name="Allgemeine Fläche" dataDxfId="1139"/>
    <tableColumn id="62" xr3:uid="{00000000-0010-0000-0400-00003E000000}" name="Hilfsgeräte" dataDxfId="1138"/>
    <tableColumn id="12" xr3:uid="{00000000-0010-0000-0400-00000C000000}" name="Energie Hilfsgeräte" dataDxfId="1137"/>
    <tableColumn id="13" xr3:uid="{00000000-0010-0000-0400-00000D000000}" name="Allgemein" dataDxfId="1136"/>
    <tableColumn id="28" xr3:uid="{EDA04BD6-2D62-44ED-8B4B-4B3B18583B79}" name=" " dataDxfId="1135"/>
    <tableColumn id="27" xr3:uid="{182825E9-2D94-4187-8159-EE35C213E0A6}" name="  " dataDxfId="1134"/>
    <tableColumn id="26" xr3:uid="{AC6559C7-53B8-4B27-B674-3A5801FADFA3}" name="   " dataDxfId="1133"/>
    <tableColumn id="73" xr3:uid="{00000000-0010-0000-0400-000049000000}" name="Invest" dataDxfId="1132">
      <calculatedColumnFormula>MHR[[#This Row],[Invest (Input)]]*ExchangeRate</calculatedColumnFormula>
    </tableColumn>
    <tableColumn id="79" xr3:uid="{00000000-0010-0000-0400-00004F000000}" name="mittl. Strom" dataDxfId="1131">
      <calculatedColumnFormula>MHR[[#This Row],[Strom]]*MHR[[#This Row],[Faktor
Strom]]</calculatedColumnFormula>
    </tableColumn>
    <tableColumn id="24" xr3:uid="{672A3F46-BAD5-4BD1-BB7A-43DAF6173916}" name="mittl. Gas" dataDxfId="1130">
      <calculatedColumnFormula>MHR[[#This Row],[Gas]]*MHR[[#This Row],[Faktor
Gas]]</calculatedColumnFormula>
    </tableColumn>
    <tableColumn id="58" xr3:uid="{754FFD92-8737-49D0-B360-0220103AA75F}" name="Schichtmodell" dataDxfId="1129"/>
    <tableColumn id="64" xr3:uid="{DB050A13-6ED9-4C72-9FB2-F7943B34B45D}" name="Zeit Rüsten" dataDxfId="1128"/>
    <tableColumn id="61" xr3:uid="{AB821456-B967-4F97-A387-B51751B3A880}" name="MA Rüsten" dataDxfId="1127"/>
    <tableColumn id="59" xr3:uid="{811460F2-1862-4FDC-BE8A-E9DBD674E06C}" name="Anzahl MA" dataDxfId="1126"/>
    <tableColumn id="60" xr3:uid="{7606F0FE-1B43-4896-A482-8FFE3388B68E}" name="Qualifikation MA" dataDxfId="1125"/>
    <tableColumn id="46" xr3:uid="{2944C75E-2724-4895-8283-2ECD20C60E39}" name="ProdSpez" dataDxfId="1124"/>
    <tableColumn id="77" xr3:uid="{00000000-0010-0000-0400-00004D000000}" name="SpezBeMi" dataDxfId="1123"/>
    <tableColumn id="47" xr3:uid="{FC401C18-0500-46E4-AE2F-D796766C6231}" name="Spalte1" dataDxfId="1122"/>
    <tableColumn id="14" xr3:uid="{8744CC2A-5388-495E-A32B-7E7CBB67CF46}" name="ACT ID" dataDxfId="1121"/>
    <tableColumn id="78" xr3:uid="{4F0E62EA-86BB-481C-93FE-D79520E4B95B}" name="ACT MK/SR" dataDxfId="1120"/>
    <tableColumn id="33" xr3:uid="{EF67A60D-2808-44CD-AECF-9C5FC8E08CEB}" name="TEC ID" dataDxfId="1119"/>
    <tableColumn id="76" xr3:uid="{00000000-0010-0000-0400-00004C000000}" name="X/O" dataDxfId="1118">
      <calculatedColumnFormula>IF(ISERROR(MATCH(MHR[[#This Row],[Bezeichnung]],MHR_Used,0)),0,"X")</calculatedColumnFormula>
    </tableColumn>
    <tableColumn id="31" xr3:uid="{DFEB5E8C-42B1-4ABD-90C8-38BBACE23648}" name="Datenstand" dataDxfId="1117"/>
    <tableColumn id="32" xr3:uid="{29C87769-3127-4E5C-B862-DFAE053663B6}" name="?" dataDxfId="1116">
      <calculatedColumnFormula>IF(AND(MHR[[#This Row],[String]]&lt;&gt;"",_xlfn.CONCAT(MHR[[#This Row],[Bezeichnung]:[   ]])=MHR[[#This Row],[String]]),"X","C")</calculatedColumnFormula>
    </tableColumn>
    <tableColumn id="30" xr3:uid="{2D098883-FD9E-4923-BAC8-05695CF9C735}" name="String" dataDxfId="1115"/>
    <tableColumn id="25" xr3:uid="{00000000-0010-0000-0400-000019000000}" name="MSS" dataDxfId="1114">
      <calculatedColumnFormula>AV7+AW7</calculatedColumnFormula>
    </tableColumn>
    <tableColumn id="15" xr3:uid="{00000000-0010-0000-0400-00000F000000}" name="Auslastung" dataDxfId="1113">
      <calculatedColumnFormula array="1">IF(OR(AND(MHR[[#This Row],[ProdSpez]]="X",MHR[[#This Row],[X/O]]="X"),AND(MHR[[#This Row],[SpezBeMi]]="X",MHR[[#This Row],[X/O]]="X")),AR7/(AP7*AQ7*8),INDEX(Premises!$A$15:$F$15,1,AX$3)/100)</calculatedColumnFormula>
    </tableColumn>
    <tableColumn id="16" xr3:uid="{00000000-0010-0000-0400-000010000000}" name="Mietkosten" dataDxfId="1112">
      <calculatedColumnFormula array="1">INDEX(Premises!$A$23:$F$23,1,AX$3)</calculatedColumnFormula>
    </tableColumn>
    <tableColumn id="17" xr3:uid="{00000000-0010-0000-0400-000011000000}" name="Arbeitstage" dataDxfId="1111">
      <calculatedColumnFormula array="1">INDEX(Premises!$A$19:$F$19,1,AX$3)</calculatedColumnFormula>
    </tableColumn>
    <tableColumn id="18" xr3:uid="{00000000-0010-0000-0400-000012000000}" name="Schichten" dataDxfId="1110">
      <calculatedColumnFormula array="1">IF(ISBLANK(MHR[[#This Row],[Schichtmodell]]),INDEX(Premises!$A$20:$F$20,1,AX$3),MHR[[#This Row],[Schichtmodell]])</calculatedColumnFormula>
    </tableColumn>
    <tableColumn id="19" xr3:uid="{00000000-0010-0000-0400-000013000000}" name="Stunden" dataDxfId="1109">
      <calculatedColumnFormula array="1">IF(OR(AND(MHR[[#This Row],[ProdSpez]]="X",MHR[[#This Row],[X/O]]="X"),AND(MHR[[#This Row],[SpezBeMi]]="X",MHR[[#This Row],[X/O]]="X")),INDEX(Premises!$A$13:$F$13,1,AX$3)
*INDEX(Calculation!$F$11:$F$65,MATCH(MHR[[#This Row],[Bezeichnung]],MHR_Used,0))/IF(INDEX(Calculation!$G$11:$G$65,MATCH(MHR[[#This Row],[Bezeichnung]],MHR_Used,0))="s",3600,IF(INDEX(Calculation!$G$11:$G$65,MATCH(MHR[[#This Row],[Bezeichnung]],MHR_Used,0))="min",60,1))/INDEX(Calculation!$H$11:$H$65,MATCH(MHR[[#This Row],[Bezeichnung]],MHR_Used,0))/ROUNDUP(INDEX(Premises!$A$13:$F$13,1,AX$3)
*INDEX(Calculation!$F$11:$F$65,MATCH(MHR[[#This Row],[Bezeichnung]],MHR_Used,0))/IF(INDEX(Calculation!$G$11:$G$65,MATCH(MHR[[#This Row],[Bezeichnung]],MHR_Used,0))="s",3600,IF(INDEX(Calculation!$G$11:$G$65,MATCH(MHR[[#This Row],[Bezeichnung]],MHR_Used,0))="min",60,1))/INDEX(Calculation!$H$11:$H$65,MATCH(MHR[[#This Row],[Bezeichnung]],MHR_Used,0))/(AP7*AQ7*8),0),
AP7*8*AQ7*AN7)</calculatedColumnFormula>
    </tableColumn>
    <tableColumn id="20" xr3:uid="{00000000-0010-0000-0400-000014000000}" name="Zinssatz" dataDxfId="1108">
      <calculatedColumnFormula array="1">INDEX(Premises!$A$26:$F$26,1,AX$3)/100</calculatedColumnFormula>
    </tableColumn>
    <tableColumn id="21" xr3:uid="{00000000-0010-0000-0400-000015000000}" name="Stromkosten" dataDxfId="1107">
      <calculatedColumnFormula array="1">IF(INDEX(Settings[],MATCH(3011,Settings[ID],0),2)=1,INDEX(Premises!$A$55:$F$55,1,AX$3),
INDEX(Premises!$A$24:$F$24,1,AX$3))</calculatedColumnFormula>
    </tableColumn>
    <tableColumn id="29" xr3:uid="{DACA9B59-9447-4D21-91CC-70E762C9892B}" name="Gaskosten" dataDxfId="1106">
      <calculatedColumnFormula array="1">INDEX(Premises!$A$25:$F$25,1,AX$3)</calculatedColumnFormula>
    </tableColumn>
    <tableColumn id="63" xr3:uid="{00000000-0010-0000-0400-00003F000000}" name="Fixkosten" dataDxfId="1105">
      <calculatedColumnFormula>IFERROR(IF(MHR[[#This Row],[SpezBeMi]]="X",($I7*AO7*12)/AR7,(($U7/$D7)+($U7*0.5*AS7)+($I7*AO7*12))/AR7),0)</calculatedColumnFormula>
    </tableColumn>
    <tableColumn id="22" xr3:uid="{00000000-0010-0000-0400-000016000000}" name="variable Kosten" dataDxfId="1104">
      <calculatedColumnFormula>IFERROR(($V7*AT7)
+($W7*AU7)
+((($J7*$U7)+($K7*$U7))*AR7/4800)/AR7,0)</calculatedColumnFormula>
    </tableColumn>
    <tableColumn id="23" xr3:uid="{00000000-0010-0000-0400-000017000000}" name="RSS" dataDxfId="1103">
      <calculatedColumnFormula array="1">IFERROR((
(MHR[[#This Row],[Indirektes Personal H]]*INDEX(LOC[High-skilled],MATCH(INDEX(Premises!$A$18:$F$18,1,AX$3),LOC[Standort],0))+MHR[[#This Row],[Indirektes Personal U]]*INDEX(LOC[M3S],MATCH(INDEX(Premises!$A$18:$F$18,1,AX$3),LOC[Standort],0)))*IF(AQ7=3,1,IF(AQ7=2,0.75,IF(AQ7=1,0.5,0)))/AR7
+($N7*AO7*12)/AR7+($N7+$I7)*8*12*AT7/AR7
+ExchangeRate*$O7*(1+0.5*((1+AS7)^8-1))/AR7+($P7*AT7)
+ExchangeRate*$Q7*(AR7/4800)/AR7
),0)</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MAT" displayName="MAT" comment="MAT" ref="B6:AD10" totalsRowShown="0" headerRowDxfId="1102" dataDxfId="1100" headerRowBorderDxfId="1101" tableBorderDxfId="1099" totalsRowBorderDxfId="1098">
  <autoFilter ref="B6:AD10" xr:uid="{7B07FDEF-3569-48CD-A3F5-B8893F6738C4}"/>
  <tableColumns count="29">
    <tableColumn id="1" xr3:uid="{00000000-0010-0000-0300-000001000000}" name="Bezeichnung" dataDxfId="1097"/>
    <tableColumn id="2" xr3:uid="{00000000-0010-0000-0300-000002000000}" name="Materialklasse" dataDxfId="1096"/>
    <tableColumn id="4" xr3:uid="{00000000-0010-0000-0300-000004000000}" name="Einheit" dataDxfId="1095"/>
    <tableColumn id="5" xr3:uid="{00000000-0010-0000-0300-000005000000}" name="Preis (Input)" dataDxfId="1094"/>
    <tableColumn id="12" xr3:uid="{A2110EA4-FF56-4D30-A74B-729F6955DE0A}" name=" " dataDxfId="1093"/>
    <tableColumn id="10" xr3:uid="{47264C83-E1BA-404F-8175-DEF18C00248F}" name="  " dataDxfId="1092"/>
    <tableColumn id="7" xr3:uid="{E03DF13B-77FD-489E-9A05-B8227C598FA7}" name="   " dataDxfId="1091"/>
    <tableColumn id="3" xr3:uid="{CD22ECF3-790C-4579-80E3-C7C7EE4AF6C8}" name="Preis" dataDxfId="1090">
      <calculatedColumnFormula>MAT[[#This Row],[Preis (Input)]]*ExchangeRate</calculatedColumnFormula>
    </tableColumn>
    <tableColumn id="21" xr3:uid="{B11687BF-1D6B-403D-ACDE-B280F5E5E241}" name="EK" dataDxfId="1089">
      <calculatedColumnFormula>IFERROR(IF(MAT[[#This Row],[Preis]]&lt;0,0,INDEX(MGK[EK],MATCH(MAT[[#This Row],[Materialklasse]],MGK[ID],0))),0)</calculatedColumnFormula>
    </tableColumn>
    <tableColumn id="23" xr3:uid="{79242E5B-D705-4B1F-B6A8-F4E8F77E3E8E}" name="PI" dataDxfId="1088" totalsRowDxfId="1087">
      <calculatedColumnFormula>IFERROR(IF(MAT[[#This Row],[Preis]]&lt;0,0,INDEX(MGK[PI],MATCH(MAT[[#This Row],[Materialklasse]],MGK[ID],0))),0)</calculatedColumnFormula>
    </tableColumn>
    <tableColumn id="22" xr3:uid="{C51490DB-E1B1-4209-AE16-4011077EE15C}" name="LA" dataDxfId="1086" totalsRowDxfId="1085">
      <calculatedColumnFormula>IFERROR(INDEX(MGK[LA],MATCH(MAT[[#This Row],[Materialklasse]],MGK[ID],0)),0)</calculatedColumnFormula>
    </tableColumn>
    <tableColumn id="20" xr3:uid="{99C6FB7C-5B8A-4000-8849-490F8E88BF14}" name="Dichte" dataDxfId="1084"/>
    <tableColumn id="8" xr3:uid="{8E1E3125-E525-482F-AD42-FA9408515B0F}" name="CO2" dataDxfId="1083"/>
    <tableColumn id="35" xr3:uid="{6B83B2C0-64AA-4585-88A8-99E2DF421FF7}" name="CO2-Fert-Zuschlag" dataDxfId="1082"/>
    <tableColumn id="43" xr3:uid="{2A1202BF-1979-49A2-9AE2-9130AE49A6D0}" name="Gruppe" dataDxfId="1081"/>
    <tableColumn id="44" xr3:uid="{ADCB4365-DE46-4B1B-BDD8-483BFC25155D}" name="Basismaterial" dataDxfId="1080"/>
    <tableColumn id="34" xr3:uid="{29F00B5C-2BFE-49E3-9203-4A379DF6F3B7}" name="Spalte1" dataDxfId="1079"/>
    <tableColumn id="6" xr3:uid="{00000000-0010-0000-0300-000006000000}" name="X/O" dataDxfId="1078">
      <calculatedColumnFormula>IF(ISERROR(MATCH(MAT[[#This Row],[Bezeichnung]],MAT_Used,0)),0,"X")</calculatedColumnFormula>
    </tableColumn>
    <tableColumn id="18" xr3:uid="{B035137E-46CB-478B-99F6-2414FAD7DBB9}" name="Datenstand" dataDxfId="1077"/>
    <tableColumn id="16" xr3:uid="{C26834BC-FE16-4BA8-A730-8CDAF80155B6}" name="?" dataDxfId="1076">
      <calculatedColumnFormula>IF(AND(MAT[[#This Row],[String]]&lt;&gt;"",CONCATENATE(B7,C7,D7,ROUND(E7,3),F7,G7,H7,MAT[[#This Row],[Dichte]],MAT[[#This Row],[CO2]])=MAT[[#This Row],[String]]),"X","C")</calculatedColumnFormula>
    </tableColumn>
    <tableColumn id="17" xr3:uid="{B4FF7286-4973-49CC-8039-CE6E421AEB85}" name="String" dataDxfId="1075"/>
    <tableColumn id="13" xr3:uid="{637E3983-C7DC-4F8A-9345-2FA851A3A948}" name="FixProJahr" dataDxfId="1074" totalsRowDxfId="1073">
      <calculatedColumnFormula>X7+Y7+Z7</calculatedColumnFormula>
    </tableColumn>
    <tableColumn id="27" xr3:uid="{40C11359-EBFF-4D4C-80DB-7E38BA8031F3}" name="Einkauf" dataDxfId="1072">
      <calculatedColumnFormula array="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calculatedColumnFormula>
    </tableColumn>
    <tableColumn id="28" xr3:uid="{FBB41B4B-9A92-4CB4-9837-B95C9AF2D30A}" name="Qualität" dataDxfId="1071" totalsRowDxfId="1070">
      <calculatedColumnFormula array="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calculatedColumnFormula>
    </tableColumn>
    <tableColumn id="29" xr3:uid="{F7D1C54A-EEA3-4C46-978D-AAAA4E3ACAE2}" name="Lagerbewegung" dataDxfId="1069" totalsRowDxfId="1068">
      <calculatedColumnFormula array="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calculatedColumnFormula>
    </tableColumn>
    <tableColumn id="31" xr3:uid="{4311722E-5935-4853-82F6-B318656B9418}" name="Kapitalbindung" dataDxfId="1067" totalsRowDxfId="1066">
      <calculatedColumnFormula array="1">IFERROR(MAX(0,INDEX(Premises!$26:$26,1,2+2*W$3)/100*INDEX(MGK[Lagerreichweite],MATCH(MAT[[#This Row],[Materialklasse]],MGK[ID],0))/52*MAT[[#This Row],[Preis]]),0)</calculatedColumnFormula>
    </tableColumn>
    <tableColumn id="32" xr3:uid="{3FB65B78-4704-49A2-B086-A75FBC759EC9}" name="Versicherung" dataDxfId="1065" totalsRowDxfId="1064">
      <calculatedColumnFormula>IFERROR(MAX(0,INDEX(MGK[Lagerreichweite],MATCH(MAT[[#This Row],[Materialklasse]],MGK[ID],0))/52*12*0.26/1000*MAT[[#This Row],[Preis]]),0)</calculatedColumnFormula>
    </tableColumn>
    <tableColumn id="30" xr3:uid="{F251D186-177F-4709-8C9A-D34B131CE345}" name="Lagerplatzkosten" dataDxfId="1063">
      <calculatedColumnFormula array="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7,MGK[ID],0))+INDEX(Premises!$26:$26,1,2+2*W$3)/100*INDEX(MGK[L-Invest],MATCH($C7,MGK[ID],0))*0.5/(365*24)+INDEX(Premises!$24:$24,1,2+2*W$3)*INDEX(MGK[L-kWh],MATCH($C7,MGK[ID],0))+INDEX(Premises!$23:$23,1,2+2*W$3)*INDEX(MGK[L-m²],MATCH($C7,MGK[ID],0))*12/(365*24))),0)</calculatedColumnFormula>
    </tableColumn>
    <tableColumn id="14" xr3:uid="{C6AE7F1E-5E27-40C3-B591-22CA913A55DB}" name="FixProEH" dataDxfId="1062">
      <calculatedColumnFormula>AA7+AB7+AC7</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OC" displayName="LOC" comment="LOC" ref="B6:AW7" totalsRowShown="0" headerRowDxfId="1061" dataDxfId="1059" headerRowBorderDxfId="1060" tableBorderDxfId="1058" totalsRowBorderDxfId="1057">
  <autoFilter ref="B6:AW7" xr:uid="{0413432E-A0F5-4120-8328-CEF10799090E}"/>
  <tableColumns count="48">
    <tableColumn id="1" xr3:uid="{00000000-0010-0000-0200-000001000000}" name="Standort" dataDxfId="1056"/>
    <tableColumn id="2" xr3:uid="{00000000-0010-0000-0200-000002000000}" name="M1S" dataDxfId="1055"/>
    <tableColumn id="3" xr3:uid="{00000000-0010-0000-0200-000003000000}" name="F1S" dataDxfId="1054"/>
    <tableColumn id="4" xr3:uid="{00000000-0010-0000-0200-000004000000}" name="M2S" dataDxfId="1053"/>
    <tableColumn id="17" xr3:uid="{00000000-0010-0000-0200-000011000000}" name="F2S" dataDxfId="1052"/>
    <tableColumn id="16" xr3:uid="{00000000-0010-0000-0200-000010000000}" name="M3S" dataDxfId="1051"/>
    <tableColumn id="15" xr3:uid="{00000000-0010-0000-0200-00000F000000}" name="F3S" dataDxfId="1050"/>
    <tableColumn id="14" xr3:uid="{00000000-0010-0000-0200-00000E000000}" name="Z2S" dataDxfId="1049"/>
    <tableColumn id="5" xr3:uid="{00000000-0010-0000-0200-000005000000}" name="Z3S" dataDxfId="1048"/>
    <tableColumn id="7" xr3:uid="{00000000-0010-0000-0200-000007000000}" name="High-skilled" dataDxfId="1047"/>
    <tableColumn id="6" xr3:uid="{00000000-0010-0000-0200-000006000000}" name="Wirschaftsbereich" dataDxfId="1046"/>
    <tableColumn id="9" xr3:uid="{00000000-0010-0000-0200-000009000000}" name="Monatesmiete" dataDxfId="1045"/>
    <tableColumn id="10" xr3:uid="{00000000-0010-0000-0200-00000A000000}" name="Strom" dataDxfId="1044"/>
    <tableColumn id="8" xr3:uid="{00000000-0010-0000-0200-000008000000}" name="Erdgas" dataDxfId="1043"/>
    <tableColumn id="11" xr3:uid="{00000000-0010-0000-0200-00000B000000}" name="Kalk. Zins" dataDxfId="1042"/>
    <tableColumn id="12" xr3:uid="{00000000-0010-0000-0200-00000C000000}" name="Währung" dataDxfId="1041"/>
    <tableColumn id="20" xr3:uid="{D606F1A2-FC75-4558-ADCE-5A17F2B5D5BC}" name="Arbeitstage" dataDxfId="1040"/>
    <tableColumn id="19" xr3:uid="{ADCB3909-0DC4-46B8-9712-D761F7F4FF26}" name="ISO" dataDxfId="1039"/>
    <tableColumn id="18" xr3:uid="{ED03AD03-6B74-4008-9284-41A6CA608F0D}" name="Region" dataDxfId="1038"/>
    <tableColumn id="23" xr3:uid="{E7C8BF5A-E280-4D66-B827-D605B03C35A6}" name="Lat" dataDxfId="1037"/>
    <tableColumn id="46" xr3:uid="{5CB33404-F68F-42A7-B3CE-5F669A9F16E7}" name="Long" dataDxfId="1036"/>
    <tableColumn id="44" xr3:uid="{E374D7E1-0AEF-4B48-85E8-6FEF5888DFC4}" name="Hafen" dataDxfId="1035"/>
    <tableColumn id="48" xr3:uid="{9FDB3AAC-ECD5-4264-8E6A-C84F8F0B33DD}" name="Diesel" dataDxfId="1034"/>
    <tableColumn id="24" xr3:uid="{B078341A-F6FD-4466-9A24-021AE45CAFF9}" name="AgCO2eq/kWh" dataDxfId="1033"/>
    <tableColumn id="25" xr3:uid="{DE3F85A1-D42C-4939-972D-AB7196FE1467}" name="BgCO2eq/kWh" dataDxfId="1032"/>
    <tableColumn id="26" xr3:uid="{F1876383-A127-4322-B731-DE4D5B1F03DB}" name="CgCO2eq/kWh" dataDxfId="1031"/>
    <tableColumn id="27" xr3:uid="{4A8114BE-3275-4134-A990-724110F7EDB5}" name="DgCO2eq/kWh" dataDxfId="1030"/>
    <tableColumn id="28" xr3:uid="{F3D07E46-7071-450A-B140-79D76B8C0A24}" name="EgCO2eq/kWh" dataDxfId="1029"/>
    <tableColumn id="29" xr3:uid="{DC04E5EF-1DF4-40FA-B1AC-492C16A75A3C}" name="FgCO2eq/kWh" dataDxfId="1028"/>
    <tableColumn id="30" xr3:uid="{33F3656C-3DAA-4D02-BAD8-799DCE0DF0BA}" name="GgCO2eq/kWh" dataDxfId="1027"/>
    <tableColumn id="31" xr3:uid="{727714A5-D3C1-4CF2-A3C9-37B72F1ECC46}" name="HgCO2eq/kWh" dataDxfId="1026"/>
    <tableColumn id="32" xr3:uid="{9A4095DC-E4C9-4ADD-85AE-039FCC1E93F3}" name="IgCO2eq/kWh" dataDxfId="1025"/>
    <tableColumn id="33" xr3:uid="{F10AD389-71CD-49A3-81C7-C6B13915FA69}" name="JgCO2eq/kWh" dataDxfId="1024"/>
    <tableColumn id="34" xr3:uid="{0DF7E52B-4EF7-40F1-BF1C-B6A286F0EBCF}" name="A%" dataDxfId="1023"/>
    <tableColumn id="35" xr3:uid="{95C8185E-57F8-42DC-BEE6-437AA5E4DAC2}" name="B%" dataDxfId="1022"/>
    <tableColumn id="36" xr3:uid="{B2E54043-F448-4A2D-B0C6-4808B5B8464A}" name="C%" dataDxfId="1021"/>
    <tableColumn id="37" xr3:uid="{6F1180F4-B09B-4A45-95DB-09E279492B63}" name="D%" dataDxfId="1020"/>
    <tableColumn id="38" xr3:uid="{8E37DC5D-88C9-463B-96DE-E8263005DDF7}" name="E%" dataDxfId="1019"/>
    <tableColumn id="39" xr3:uid="{AAF9AB20-81F7-4414-9910-5639F843A2F7}" name="F%" dataDxfId="1018"/>
    <tableColumn id="40" xr3:uid="{B13A1D24-2E08-4D07-B7EE-73A6076C50F2}" name="G%" dataDxfId="1017"/>
    <tableColumn id="41" xr3:uid="{EC9FFA60-DBCB-4ABE-ABD2-A03AE53512C2}" name="H%" dataDxfId="1016"/>
    <tableColumn id="43" xr3:uid="{2627D663-AD5E-42F6-8A3F-6ACE26DC8A42}" name="I%" dataDxfId="1015"/>
    <tableColumn id="42" xr3:uid="{E6A700DC-DA07-4F76-91E4-560EC3AD061F}" name="J%" dataDxfId="1014"/>
    <tableColumn id="45" xr3:uid="{59698082-5083-433D-9E6E-62D7E4C0195C}" name="CO2-Steuer" dataDxfId="1013"/>
    <tableColumn id="47" xr3:uid="{E6245B10-D8B9-48C7-BFE0-2865982B79DC}" name="ETS" dataDxfId="1012"/>
    <tableColumn id="22" xr3:uid="{B22CF784-F044-416E-A0BD-00F768AF895A}" name="Datenstand" dataDxfId="1011"/>
    <tableColumn id="21" xr3:uid="{65F5B675-04D6-45AD-AECD-661CAE5F85A3}" name="?" dataDxfId="1010">
      <calculatedColumnFormula>IF(AND(LOC[[#This Row],[String]]&lt;&gt;"",_xlfn.CONCAT(LOC[[#This Row],[Standort]:[ETS]])=LOC[[#This Row],[String]]),"X","C")</calculatedColumnFormula>
    </tableColumn>
    <tableColumn id="13" xr3:uid="{B3A3DB6C-C4AE-4BBA-9D94-121347F40C4B}" name="String" dataDxfId="1009"/>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3B2C0FE0-1B27-4517-813D-9DC24ED866B8}" name="EBOM" displayName="EBOM" ref="A5:Z33" totalsRowShown="0" headerRowDxfId="997" dataDxfId="995" headerRowBorderDxfId="996" tableBorderDxfId="994" totalsRowBorderDxfId="993" headerRowCellStyle="Standard_Stückliste_Platine_APA_2008-09-10" dataCellStyle="Standard_Stückliste_Platine_APA_2008-09-10">
  <autoFilter ref="A5:Z33" xr:uid="{44C85533-CF23-4036-A38C-041EBED98AFD}"/>
  <tableColumns count="26">
    <tableColumn id="1" xr3:uid="{E645523D-3E28-42F5-A1A7-566C77750537}" name="No." dataDxfId="992" dataCellStyle="Standard_Stückliste_Platine_APA_2008-09-10">
      <calculatedColumnFormula>ROW()-8</calculatedColumnFormula>
    </tableColumn>
    <tableColumn id="2" xr3:uid="{18213FF9-2DCC-462B-8842-9F829EE55633}" name="Group" dataDxfId="991" dataCellStyle="Standard_Stückliste_Platine_APA_2008-09-10"/>
    <tableColumn id="3" xr3:uid="{23AFD930-5901-489A-9DD0-D5DF9D2269BF}" name="Type" dataDxfId="990" dataCellStyle="Standard_Stückliste_Platine_APA_2008-09-10"/>
    <tableColumn id="4" xr3:uid="{E926EA7E-3B1D-463A-8028-A44D7C088E0D}" name="Marking on component" dataDxfId="989" dataCellStyle="Standard_Stückliste_Platine_APA_2008-09-10"/>
    <tableColumn id="5" xr3:uid="{5F9855A1-A5DF-4BD9-A7B9-8BDD7A466653}" name="Quantity _x000a_Top Side" dataDxfId="988" dataCellStyle="Standard_Stückliste_Platine_APA_2008-09-10"/>
    <tableColumn id="6" xr3:uid="{F293C894-7859-4DF2-8D1E-89E2B0EC1A44}" name="Quantity _x000a_Bottom Side" dataDxfId="987" dataCellStyle="Standard_Stückliste_Platine_APA_2008-09-10"/>
    <tableColumn id="7" xr3:uid="{C22CE80D-541F-4889-BD7A-A709FAB5AB15}" name="Quantity _x000a_Total" dataDxfId="986" dataCellStyle="Standard_Stückliste_Platine_APA_2008-09-10">
      <calculatedColumnFormula>E6+F6</calculatedColumnFormula>
    </tableColumn>
    <tableColumn id="8" xr3:uid="{C99069E8-B6C7-4660-B0EC-E641F4171C81}" name="SMD/THT" dataDxfId="985" dataCellStyle="Standard_Stückliste_Platine_APA_2008-09-10"/>
    <tableColumn id="9" xr3:uid="{7A73FCDD-6A50-48C6-ABE9-6D0E52CB7843}" name="Beschreibung" dataDxfId="984" dataCellStyle="Standard_Stückliste_Platine_APA_2008-09-10"/>
    <tableColumn id="10" xr3:uid="{77C03417-EAD5-462D-85F5-68D8D92B0CB6}" name="Manufacturer" dataDxfId="983" dataCellStyle="Standard_Stückliste_Platine_APA_2008-09-10"/>
    <tableColumn id="11" xr3:uid="{D9AD0341-2847-4914-819F-59BC71F11C7D}" name="Manufacturer _x000a_Part Number" dataDxfId="982" dataCellStyle="Standard_Stückliste_Platine_APA_2008-09-10"/>
    <tableColumn id="12" xr3:uid="{91A21A59-11D6-4812-B243-CAFFAC7FA43D}" name="Reference _x000a_Part Number" dataDxfId="981" dataCellStyle="Standard_Stückliste_Platine_APA_2008-09-10"/>
    <tableColumn id="13" xr3:uid="{0E2806BE-66DC-4326-9615-1B2F31A77C02}" name="No of Pins/Pads" dataDxfId="980" dataCellStyle="Standard_Stückliste_Platine_APA_2008-09-10"/>
    <tableColumn id="14" xr3:uid="{137FC2C2-03B6-4936-B607-3E9B70D9459F}" name="Package / Dimension" dataDxfId="979" dataCellStyle="Standard_Stückliste_Platine_APA_2008-09-10"/>
    <tableColumn id="15" xr3:uid="{31AC9AF6-C4DC-4567-9713-B186C08B56D5}" name="Link" dataDxfId="978" dataCellStyle="Standard_Stückliste_Platine_APA_2008-09-10"/>
    <tableColumn id="16" xr3:uid="{0DF831E1-C6D7-4461-9987-645FE91BE30B}" name="Purchasing Volume" dataDxfId="977" dataCellStyle="Standard_Stückliste_Platine_APA_2008-09-10"/>
    <tableColumn id="25" xr3:uid="{C973C723-2CF4-4E92-A52E-ED15F6ED0A79}" name="Tolerance" dataDxfId="976" dataCellStyle="Standard_Stückliste_Platine_APA_2008-09-10"/>
    <tableColumn id="17" xr3:uid="{B86ABF4B-8643-4BB2-B23C-03BF9BD79C42}" name="Researched Price" dataDxfId="975" dataCellStyle="Standard_Stückliste_Platine_APA_2008-09-10"/>
    <tableColumn id="24" xr3:uid="{16495663-55E5-4E79-9E6C-338C5081A753}" name="Search date" dataDxfId="974" dataCellStyle="Standard_Stückliste_Platine_APA_2008-09-10"/>
    <tableColumn id="26" xr3:uid="{E51E8BBB-FB70-4837-9CD4-F8A3B3CCF3B2}" name="Project factor" dataDxfId="973" dataCellStyle="Standard_Stückliste_Platine_APA_2008-09-10"/>
    <tableColumn id="18" xr3:uid="{13CF14AA-7940-4F82-942B-91EE0736E829}" name="Factor" dataDxfId="972" dataCellStyle="Standard_Stückliste_Platine_APA_2008-09-10">
      <calculatedColumnFormula array="1">EBOM_Factor</calculatedColumnFormula>
    </tableColumn>
    <tableColumn id="19" xr3:uid="{5D64380B-4F58-42CB-ACB8-34F6E540344C}" name="Factorized Single Price" dataDxfId="971" dataCellStyle="Standard_Stückliste_Platine_APA_2008-09-10">
      <calculatedColumnFormula>R6*U6*T6</calculatedColumnFormula>
    </tableColumn>
    <tableColumn id="20" xr3:uid="{5395236C-3D68-4933-91D4-0A795CAB32C3}" name="Price Top Side" dataDxfId="970" dataCellStyle="Standard_Stückliste_Platine_APA_2008-09-10">
      <calculatedColumnFormula>E6*V6</calculatedColumnFormula>
    </tableColumn>
    <tableColumn id="21" xr3:uid="{DEDAB9F9-7CAE-4610-868D-5BABC85FF177}" name="Price Bottom Side" dataDxfId="969" dataCellStyle="Standard_Stückliste_Platine_APA_2008-09-10">
      <calculatedColumnFormula>F6*V6</calculatedColumnFormula>
    </tableColumn>
    <tableColumn id="22" xr3:uid="{3510CE36-29B2-46C0-8F2A-5BB57D86F618}" name="Total Price" dataDxfId="968" dataCellStyle="Standard_Stückliste_Platine_APA_2008-09-10">
      <calculatedColumnFormula>X6+W6</calculatedColumnFormula>
    </tableColumn>
    <tableColumn id="23" xr3:uid="{6CDFC42B-74B8-4858-BF33-C6D0FCB2F15C}" name="Comment" dataDxfId="967" dataCellStyle="Standard_Stückliste_Platine_APA_2008-09-10"/>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9AC5A79-40F7-4F8D-BB34-B24529082392}" name="tbl_Code_housing" displayName="tbl_Code_housing" ref="F70:J83" totalsRowShown="0" headerRowDxfId="966" dataDxfId="965" tableBorderDxfId="964" headerRowCellStyle="Standard_Stückliste_Platine_APA_2008-09-10">
  <autoFilter ref="F70:J83" xr:uid="{6D4E0199-666D-47F2-B58D-F17B7B3C449A}"/>
  <tableColumns count="5">
    <tableColumn id="1" xr3:uid="{78116313-EF48-4310-B171-4841204E1698}" name="Capacitor" dataDxfId="963" dataCellStyle="Standard_Stückliste_Platine_APA_2008-09-10"/>
    <tableColumn id="2" xr3:uid="{8C837FB2-AFE5-446E-A76B-7216AC04BB8C}" name="Resistor" dataDxfId="962" dataCellStyle="Standard_Stückliste_Platine_APA_2008-09-10"/>
    <tableColumn id="3" xr3:uid="{6D890E4C-1AB4-4A76-A392-50C9000AAA63}" name="Diode / Transistor" dataDxfId="961" dataCellStyle="Standard_Stückliste_Platine_APA_2008-09-10"/>
    <tableColumn id="4" xr3:uid="{FFB34C4A-B921-4708-A539-0289FB1BF033}" name="Capacitor / Inductance / Ferrite" dataDxfId="960" dataCellStyle="Standard_Stückliste_Platine_APA_2008-09-10"/>
    <tableColumn id="5" xr3:uid="{60335C01-CF54-4118-93A9-D92D92E6C52F}" name="Inductance / Ferrite" dataDxfId="959" dataCellStyle="Standard_Stückliste_Platine_APA_2008-09-10"/>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F4409C-3DC7-4A4D-A4D3-289A3E126284}" name="tbl_type" displayName="tbl_type" ref="C70:C79" totalsRowShown="0" headerRowDxfId="958" dataDxfId="957" headerRowCellStyle="Standard_Stückliste_Platine_APA_2008-09-10" dataCellStyle="Standard_Stückliste_Platine_APA_2008-09-10">
  <autoFilter ref="C70:C79" xr:uid="{B987F89C-44D3-4A03-82FA-87F40E85B8C6}"/>
  <tableColumns count="1">
    <tableColumn id="1" xr3:uid="{F35D1A6C-8A49-48A7-9E7E-A262D7E12224}" name="Type" dataDxfId="956" dataCellStyle="Standard_Stückliste_Platine_APA_2008-09-10"/>
  </tableColumns>
  <tableStyleInfo name="TableStyleLight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E1BBB78B-080E-4182-AA4A-2F0962A678F4}" name="EBOM44" displayName="EBOM44" ref="A5:Z45" totalsRowShown="0" headerRowDxfId="945" dataDxfId="943" headerRowBorderDxfId="944" tableBorderDxfId="942" totalsRowBorderDxfId="941" headerRowCellStyle="Standard_Stückliste_Platine_APA_2008-09-10" dataCellStyle="Standard_Stückliste_Platine_APA_2008-09-10">
  <autoFilter ref="A5:Z45" xr:uid="{44C85533-CF23-4036-A38C-041EBED98AFD}"/>
  <tableColumns count="26">
    <tableColumn id="1" xr3:uid="{9A0D1870-7DE7-44EB-B90F-27C7F8DEC154}" name="No." dataDxfId="940" dataCellStyle="Standard_Stückliste_Platine_APA_2008-09-10">
      <calculatedColumnFormula>ROW()-8</calculatedColumnFormula>
    </tableColumn>
    <tableColumn id="2" xr3:uid="{B086231D-DC62-4B10-93CD-4611EDCEFD2B}" name="Group" dataDxfId="939" dataCellStyle="Standard_Stückliste_Platine_APA_2008-09-10"/>
    <tableColumn id="3" xr3:uid="{BECBAD13-CDFF-4BB6-AA85-FEF44E145981}" name="Type" dataDxfId="938" dataCellStyle="Standard_Stückliste_Platine_APA_2008-09-10"/>
    <tableColumn id="4" xr3:uid="{D511F822-320D-4F02-BB12-312D7125B847}" name="Marking on component" dataDxfId="937" dataCellStyle="Standard_Stückliste_Platine_APA_2008-09-10"/>
    <tableColumn id="5" xr3:uid="{81AB0421-918D-4A76-BD92-BC6B474B19E5}" name="Quantity _x000a_Top Side" dataDxfId="936" dataCellStyle="Standard_Stückliste_Platine_APA_2008-09-10"/>
    <tableColumn id="6" xr3:uid="{D296928C-F1FB-4D7B-BC39-E5E54F73FD36}" name="Quantity _x000a_Bottom Side" dataDxfId="935" dataCellStyle="Standard_Stückliste_Platine_APA_2008-09-10"/>
    <tableColumn id="7" xr3:uid="{701D63D1-B617-42D7-A1F9-83188D48FCF3}" name="Quantity _x000a_Total" dataDxfId="934" dataCellStyle="Standard_Stückliste_Platine_APA_2008-09-10">
      <calculatedColumnFormula>E6+F6</calculatedColumnFormula>
    </tableColumn>
    <tableColumn id="8" xr3:uid="{AB6556B4-5E02-4E12-82C1-0323583C3C2C}" name="SMD/THT" dataDxfId="933" dataCellStyle="Standard_Stückliste_Platine_APA_2008-09-10"/>
    <tableColumn id="9" xr3:uid="{A9FE9B3D-8492-44FA-B066-615B50F9F983}" name="Description" dataDxfId="932" dataCellStyle="Standard_Stückliste_Platine_APA_2008-09-10"/>
    <tableColumn id="10" xr3:uid="{A2C441B1-EF44-4696-8F1A-89A761796545}" name="Manufacturer" dataDxfId="931" dataCellStyle="Standard_Stückliste_Platine_APA_2008-09-10"/>
    <tableColumn id="11" xr3:uid="{8A769CFC-05A2-410E-B234-85B85F121C50}" name="Manufacturer _x000a_Part Number" dataDxfId="930" dataCellStyle="Standard_Stückliste_Platine_APA_2008-09-10"/>
    <tableColumn id="12" xr3:uid="{81DFD0F0-82FF-472C-98E7-80CB2D6E6526}" name="Reference _x000a_Part Number" dataDxfId="929" dataCellStyle="Standard_Stückliste_Platine_APA_2008-09-10"/>
    <tableColumn id="13" xr3:uid="{DD0F0C1B-B6FA-43FE-8A4B-A2469EEADA10}" name="No of Pins/Pads" dataDxfId="928" dataCellStyle="Standard_Stückliste_Platine_APA_2008-09-10"/>
    <tableColumn id="14" xr3:uid="{BBC6678E-BD51-42DE-9A41-F53244F656D5}" name="Package / Dimension" dataDxfId="927" dataCellStyle="Standard_Stückliste_Platine_APA_2008-09-10"/>
    <tableColumn id="15" xr3:uid="{450E716B-14DF-4086-A6AE-4066CBFABB2F}" name="Source" dataDxfId="926" dataCellStyle="Standard_Stückliste_Platine_APA_2008-09-10"/>
    <tableColumn id="16" xr3:uid="{D144D33E-6B49-4A53-8281-96ADB6DAEDCE}" name="Purchasing Volume" dataDxfId="925" dataCellStyle="Standard_Stückliste_Platine_APA_2008-09-10"/>
    <tableColumn id="25" xr3:uid="{4E4EF6C8-978C-46EC-B826-FA43AF84E82F}" name="Tolerance" dataDxfId="924" dataCellStyle="Standard_Stückliste_Platine_APA_2008-09-10"/>
    <tableColumn id="17" xr3:uid="{B74B5C5A-47D5-42EB-9C48-DE7509995EA5}" name="Researched Price" dataDxfId="923" dataCellStyle="Standard_Stückliste_Platine_APA_2008-09-10"/>
    <tableColumn id="24" xr3:uid="{BEF4B8A6-5F48-40FB-8BCC-C3876C9BBF7D}" name="Search date" dataDxfId="922" dataCellStyle="Standard_Stückliste_Platine_APA_2008-09-10"/>
    <tableColumn id="26" xr3:uid="{691AA275-0ED5-4E76-8B95-9FD03968A61B}" name="Project factor" dataDxfId="921" dataCellStyle="Standard_Stückliste_Platine_APA_2008-09-10"/>
    <tableColumn id="18" xr3:uid="{8C88ADF4-8C21-4890-AF93-1A814731FFCE}" name="Factor" dataDxfId="920" dataCellStyle="Standard_Stückliste_Platine_APA_2008-09-10">
      <calculatedColumnFormula array="1">EBOM_Factor</calculatedColumnFormula>
    </tableColumn>
    <tableColumn id="19" xr3:uid="{B07D1ACF-F792-4D57-A6D8-DF8B52817D38}" name="Factorized Single Price" dataDxfId="919" dataCellStyle="Standard_Stückliste_Platine_APA_2008-09-10">
      <calculatedColumnFormula>R6*U6*T6</calculatedColumnFormula>
    </tableColumn>
    <tableColumn id="20" xr3:uid="{C5A7ED2A-21FE-4045-8C7D-41697727A737}" name="Price Top Side" dataDxfId="918" dataCellStyle="Standard_Stückliste_Platine_APA_2008-09-10">
      <calculatedColumnFormula>E6*V6</calculatedColumnFormula>
    </tableColumn>
    <tableColumn id="21" xr3:uid="{28BD3E40-4633-46D5-B97B-8C9C18DE1B7B}" name="Price Bottom Side" dataDxfId="917" dataCellStyle="Standard_Stückliste_Platine_APA_2008-09-10">
      <calculatedColumnFormula>F6*V6</calculatedColumnFormula>
    </tableColumn>
    <tableColumn id="22" xr3:uid="{053B4599-3A88-4FB7-BDDE-72DE6779921E}" name="Total Price" dataDxfId="916" dataCellStyle="Standard_Stückliste_Platine_APA_2008-09-10">
      <calculatedColumnFormula>X6+W6</calculatedColumnFormula>
    </tableColumn>
    <tableColumn id="23" xr3:uid="{3918A984-B740-4385-BA17-E679EDCD4FE7}" name="Comment" dataDxfId="915" dataCellStyle="Standard_Stückliste_Platine_APA_2008-09-10"/>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3DD506D-886F-4058-A7A3-E0EE5B8AD8C3}" name="tbl_Code_housing46" displayName="tbl_Code_housing46" ref="F82:J95" totalsRowShown="0" headerRowDxfId="914" dataDxfId="913" tableBorderDxfId="912" headerRowCellStyle="Standard_Stückliste_Platine_APA_2008-09-10">
  <autoFilter ref="F82:J95" xr:uid="{6D4E0199-666D-47F2-B58D-F17B7B3C449A}"/>
  <tableColumns count="5">
    <tableColumn id="1" xr3:uid="{39DFF11D-033A-4C4B-9DDC-4FF0D887A94C}" name="Capacitor" dataDxfId="911" dataCellStyle="Standard_Stückliste_Platine_APA_2008-09-10"/>
    <tableColumn id="2" xr3:uid="{0B2ADD04-5E4B-4248-9AF4-5C1E97C85372}" name="Resistor" dataDxfId="910" dataCellStyle="Standard_Stückliste_Platine_APA_2008-09-10"/>
    <tableColumn id="3" xr3:uid="{5A80DAE4-8B0B-44F5-9587-A299090319F0}" name="Diode / Transistor" dataDxfId="909" dataCellStyle="Standard_Stückliste_Platine_APA_2008-09-10"/>
    <tableColumn id="4" xr3:uid="{C9F083A0-10BD-4D64-BE3F-5EDA02665E59}" name="Capacitor / Inductance / Ferrite" dataDxfId="908" dataCellStyle="Standard_Stückliste_Platine_APA_2008-09-10"/>
    <tableColumn id="5" xr3:uid="{AEBADADE-5A16-4BF5-85FA-C61C83FF130C}" name="Inductance / Ferrite" dataDxfId="907" dataCellStyle="Standard_Stückliste_Platine_APA_2008-09-10"/>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E87F9E9-AFB3-44F9-879B-32C793EADECC}" name="tbl_type48" displayName="tbl_type48" ref="C82:C91" totalsRowShown="0" headerRowDxfId="906" dataDxfId="905" headerRowCellStyle="Standard_Stückliste_Platine_APA_2008-09-10" dataCellStyle="Standard_Stückliste_Platine_APA_2008-09-10">
  <autoFilter ref="C82:C91" xr:uid="{B987F89C-44D3-4A03-82FA-87F40E85B8C6}"/>
  <tableColumns count="1">
    <tableColumn id="1" xr3:uid="{18922EF7-C5C0-4482-A86E-64D6B920133D}" name="Type" dataDxfId="904" dataCellStyle="Standard_Stückliste_Platine_APA_2008-09-10"/>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7E975CFE-376B-4FA3-A665-0AE7937FB5E2}" name="EBOM49" displayName="EBOM49" ref="A5:Z22" totalsRowShown="0" headerRowDxfId="892" dataDxfId="890" headerRowBorderDxfId="891" tableBorderDxfId="889" totalsRowBorderDxfId="888" headerRowCellStyle="Standard_Stückliste_Platine_APA_2008-09-10" dataCellStyle="Standard_Stückliste_Platine_APA_2008-09-10">
  <autoFilter ref="A5:Z22" xr:uid="{44C85533-CF23-4036-A38C-041EBED98AFD}"/>
  <tableColumns count="26">
    <tableColumn id="1" xr3:uid="{94208261-7AF8-4C74-B2DB-84FB5ACA9996}" name="No." dataDxfId="887" dataCellStyle="Standard_Stückliste_Platine_APA_2008-09-10">
      <calculatedColumnFormula>ROW()-8</calculatedColumnFormula>
    </tableColumn>
    <tableColumn id="2" xr3:uid="{CFB0F726-9D7A-4D79-851D-909C6B4E4B93}" name="Group" dataDxfId="886" dataCellStyle="Standard_Stückliste_Platine_APA_2008-09-10"/>
    <tableColumn id="3" xr3:uid="{7BE6002E-4944-4E81-91D8-AFE2F7E8AD98}" name="Type" dataDxfId="885" dataCellStyle="Standard_Stückliste_Platine_APA_2008-09-10"/>
    <tableColumn id="4" xr3:uid="{C7B3A233-8F6A-48D5-AA65-4684E71AB9A6}" name="Marking on component" dataDxfId="884" dataCellStyle="Standard_Stückliste_Platine_APA_2008-09-10"/>
    <tableColumn id="5" xr3:uid="{F3637C36-788E-4B5B-92FB-B28F5D0CD4A5}" name="Quantity _x000a_Top Side" dataDxfId="883" dataCellStyle="Standard_Stückliste_Platine_APA_2008-09-10"/>
    <tableColumn id="6" xr3:uid="{9F14FD1F-197C-49C9-9DFC-3998A7CD4D88}" name="Quantity _x000a_Bottom Side" dataDxfId="882" dataCellStyle="Standard_Stückliste_Platine_APA_2008-09-10"/>
    <tableColumn id="7" xr3:uid="{F8ECF61A-104C-423F-A077-33DECBC0C0EF}" name="Quantity _x000a_Total" dataDxfId="881" dataCellStyle="Standard_Stückliste_Platine_APA_2008-09-10">
      <calculatedColumnFormula>E6+F6</calculatedColumnFormula>
    </tableColumn>
    <tableColumn id="8" xr3:uid="{20A345E7-92A2-4A63-A1A8-6609CEBFD33A}" name="SMD/THT" dataDxfId="880" dataCellStyle="Standard_Stückliste_Platine_APA_2008-09-10"/>
    <tableColumn id="9" xr3:uid="{53BBBB1A-34FB-470D-8A9E-BC177E625AFE}" name="Description" dataDxfId="879" dataCellStyle="Standard_Stückliste_Platine_APA_2008-09-10"/>
    <tableColumn id="10" xr3:uid="{06B73524-1FF7-4A83-9468-7EB9222A636E}" name="Manufacturer" dataDxfId="878" dataCellStyle="Standard_Stückliste_Platine_APA_2008-09-10"/>
    <tableColumn id="11" xr3:uid="{ACE80F4D-C680-4D92-B884-EE3387980A44}" name="Manufacturer _x000a_Part Number" dataDxfId="877" dataCellStyle="Standard_Stückliste_Platine_APA_2008-09-10"/>
    <tableColumn id="12" xr3:uid="{06985686-1BA8-42C8-BB6F-D215F96F2E63}" name="Reference _x000a_Part Number" dataDxfId="876" dataCellStyle="Standard_Stückliste_Platine_APA_2008-09-10"/>
    <tableColumn id="13" xr3:uid="{3A45BC3A-1C81-4C17-8613-964A83A0437C}" name="No of Pins/Pads" dataDxfId="875" dataCellStyle="Standard_Stückliste_Platine_APA_2008-09-10"/>
    <tableColumn id="14" xr3:uid="{B4D9A766-78A2-4C5A-BFF4-C264899C9091}" name="Package / Dimension" dataDxfId="874" dataCellStyle="Standard_Stückliste_Platine_APA_2008-09-10"/>
    <tableColumn id="15" xr3:uid="{0B2C69A5-7A56-4DCB-8BD8-F655C746FAD9}" name="Source" dataDxfId="873" dataCellStyle="Standard_Stückliste_Platine_APA_2008-09-10"/>
    <tableColumn id="16" xr3:uid="{32214794-7F01-4C66-AC92-D6988F77459A}" name="Purchasing Volume" dataDxfId="872" dataCellStyle="Standard_Stückliste_Platine_APA_2008-09-10"/>
    <tableColumn id="25" xr3:uid="{03AE98ED-59C4-4706-B7F6-BD007AE2C74C}" name="Tolerance" dataDxfId="871" dataCellStyle="Standard_Stückliste_Platine_APA_2008-09-10"/>
    <tableColumn id="17" xr3:uid="{B0475611-E7AC-4046-83F8-131BB6466DD0}" name="Researched Price" dataDxfId="870" dataCellStyle="Standard_Stückliste_Platine_APA_2008-09-10"/>
    <tableColumn id="24" xr3:uid="{93A18659-E668-4B11-9C31-7C240E2A4E5D}" name="Search date" dataDxfId="869" dataCellStyle="Standard_Stückliste_Platine_APA_2008-09-10"/>
    <tableColumn id="26" xr3:uid="{988FDBF6-370E-4C4D-9901-E9AF953A3108}" name="Project factor" dataDxfId="868" dataCellStyle="Standard_Stückliste_Platine_APA_2008-09-10"/>
    <tableColumn id="18" xr3:uid="{DFBC9819-07CE-485E-ACE4-35524B6B3BFF}" name="Factor" dataDxfId="867" dataCellStyle="Standard_Stückliste_Platine_APA_2008-09-10">
      <calculatedColumnFormula array="1">EBOM_Factor</calculatedColumnFormula>
    </tableColumn>
    <tableColumn id="19" xr3:uid="{9C872CB0-6DE3-48B8-8ECF-FB105129E29F}" name="Factorized Single Price" dataDxfId="866" dataCellStyle="Standard_Stückliste_Platine_APA_2008-09-10">
      <calculatedColumnFormula>R6*U6*T6</calculatedColumnFormula>
    </tableColumn>
    <tableColumn id="20" xr3:uid="{D11E7BD6-6F95-42EB-8710-224955CD1735}" name="Price Top Side" dataDxfId="865" dataCellStyle="Standard_Stückliste_Platine_APA_2008-09-10">
      <calculatedColumnFormula>E6*V6</calculatedColumnFormula>
    </tableColumn>
    <tableColumn id="21" xr3:uid="{9DBECB6B-FBC4-473B-BE2E-B712B0A4FEF1}" name="Price Bottom Side" dataDxfId="864" dataCellStyle="Standard_Stückliste_Platine_APA_2008-09-10">
      <calculatedColumnFormula>F6*V6</calculatedColumnFormula>
    </tableColumn>
    <tableColumn id="22" xr3:uid="{B13AF276-7D05-49F9-A487-A198F190DF8B}" name="Total Price" dataDxfId="863" dataCellStyle="Standard_Stückliste_Platine_APA_2008-09-10">
      <calculatedColumnFormula>X6+W6</calculatedColumnFormula>
    </tableColumn>
    <tableColumn id="23" xr3:uid="{8A0098B9-A9D9-4AFC-90B0-5A41438BECCD}" name="Comment" dataDxfId="862" dataCellStyle="Standard_Stückliste_Platine_APA_2008-09-10"/>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F3C227F-958D-4D3C-A13D-B0CA413399BF}" name="tbl_Code_housing50" displayName="tbl_Code_housing50" ref="F59:J72" totalsRowShown="0" headerRowDxfId="861" dataDxfId="860" tableBorderDxfId="859" headerRowCellStyle="Standard_Stückliste_Platine_APA_2008-09-10">
  <autoFilter ref="F59:J72" xr:uid="{6D4E0199-666D-47F2-B58D-F17B7B3C449A}"/>
  <tableColumns count="5">
    <tableColumn id="1" xr3:uid="{86BB9308-40BA-472F-8008-A9B0A6F6B5B2}" name="Capacitor" dataDxfId="858" dataCellStyle="Standard_Stückliste_Platine_APA_2008-09-10"/>
    <tableColumn id="2" xr3:uid="{47B8655A-DE38-4B5F-AF58-9416BA918BA1}" name="Resistor" dataDxfId="857" dataCellStyle="Standard_Stückliste_Platine_APA_2008-09-10"/>
    <tableColumn id="3" xr3:uid="{3B3C6001-E6D4-4DA8-A21B-EADCF81B31B9}" name="Diode / Transistor" dataDxfId="856" dataCellStyle="Standard_Stückliste_Platine_APA_2008-09-10"/>
    <tableColumn id="4" xr3:uid="{6166DEFF-D295-4649-ABB8-C7D41E1B6C57}" name="Capacitor / Inductance / Ferrite" dataDxfId="855" dataCellStyle="Standard_Stückliste_Platine_APA_2008-09-10"/>
    <tableColumn id="5" xr3:uid="{0D2A96D7-A0BC-4429-B754-5A78881B2682}" name="Inductance / Ferrite" dataDxfId="854" dataCellStyle="Standard_Stückliste_Platine_APA_2008-09-10"/>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670A0F6-9D0C-41E1-9B03-4CB741938870}" name="tbl_type51" displayName="tbl_type51" ref="C59:C68" totalsRowShown="0" headerRowDxfId="853" dataDxfId="852" headerRowCellStyle="Standard_Stückliste_Platine_APA_2008-09-10" dataCellStyle="Standard_Stückliste_Platine_APA_2008-09-10">
  <autoFilter ref="C59:C68" xr:uid="{B987F89C-44D3-4A03-82FA-87F40E85B8C6}"/>
  <tableColumns count="1">
    <tableColumn id="1" xr3:uid="{83EAA2F4-31F3-40A0-A3F6-255D262AB28A}" name="Type" dataDxfId="851" dataCellStyle="Standard_Stückliste_Platine_APA_2008-09-10"/>
  </tableColumns>
  <tableStyleInfo name="TableStyleLight1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690D693-579C-4358-B8ED-3499D00578AF}" name="EBOM52" displayName="EBOM52" ref="A5:Z26" totalsRowShown="0" headerRowDxfId="836" dataDxfId="834" headerRowBorderDxfId="835" tableBorderDxfId="833" totalsRowBorderDxfId="832" headerRowCellStyle="Standard_Stückliste_Platine_APA_2008-09-10" dataCellStyle="Standard_Stückliste_Platine_APA_2008-09-10">
  <autoFilter ref="A5:Z26" xr:uid="{44C85533-CF23-4036-A38C-041EBED98AFD}"/>
  <tableColumns count="26">
    <tableColumn id="1" xr3:uid="{F1770568-E181-4D71-AB2C-3DEBA17B05B6}" name="No." dataDxfId="831" dataCellStyle="Standard_Stückliste_Platine_APA_2008-09-10">
      <calculatedColumnFormula>ROW()-8</calculatedColumnFormula>
    </tableColumn>
    <tableColumn id="2" xr3:uid="{737DA790-C102-4256-8868-EB9EBDF66B1F}" name="Group" dataDxfId="830" dataCellStyle="Standard_Stückliste_Platine_APA_2008-09-10"/>
    <tableColumn id="3" xr3:uid="{36690546-F443-47ED-B425-F3BFBE5DFECF}" name="Type" dataDxfId="829" dataCellStyle="Standard_Stückliste_Platine_APA_2008-09-10"/>
    <tableColumn id="4" xr3:uid="{659CE25E-7792-4F74-BEC9-51972DF3CDDD}" name="Marking on component" dataDxfId="828" dataCellStyle="Standard_Stückliste_Platine_APA_2008-09-10"/>
    <tableColumn id="5" xr3:uid="{A40DD57D-54BA-4973-BC96-9BC6901D0A24}" name="Quantity _x000a_Top Side" dataDxfId="827" dataCellStyle="Standard_Stückliste_Platine_APA_2008-09-10"/>
    <tableColumn id="6" xr3:uid="{87AAC92E-9B41-43D2-8D74-D5A8E8932124}" name="Quantity _x000a_Bottom Side" dataDxfId="826" dataCellStyle="Standard_Stückliste_Platine_APA_2008-09-10"/>
    <tableColumn id="7" xr3:uid="{9BE2FAD4-1C74-40E9-BBA7-C6E5FF314EB3}" name="Quantity _x000a_Total" dataDxfId="825" dataCellStyle="Standard_Stückliste_Platine_APA_2008-09-10">
      <calculatedColumnFormula>E6+F6</calculatedColumnFormula>
    </tableColumn>
    <tableColumn id="8" xr3:uid="{DFA0C922-3328-4125-8270-5F62E824355F}" name="SMD/THT" dataDxfId="824" dataCellStyle="Standard_Stückliste_Platine_APA_2008-09-10"/>
    <tableColumn id="9" xr3:uid="{4766A6C2-34A1-4C35-B9D8-2C505BFB2C44}" name="Description" dataDxfId="823" dataCellStyle="Standard_Stückliste_Platine_APA_2008-09-10"/>
    <tableColumn id="10" xr3:uid="{950CA285-7B38-4A61-89EB-A162FF23543D}" name="Manufacturer" dataDxfId="822" dataCellStyle="Standard_Stückliste_Platine_APA_2008-09-10"/>
    <tableColumn id="11" xr3:uid="{6E799DE8-CFFB-42C1-AE1B-1F5DCFA35DAE}" name="Manufacturer _x000a_Part Number" dataDxfId="821" dataCellStyle="Standard_Stückliste_Platine_APA_2008-09-10"/>
    <tableColumn id="12" xr3:uid="{FF595731-94DD-4DEA-AFEB-EDEC42755FEF}" name="Reference _x000a_Part Number" dataDxfId="820" dataCellStyle="Standard_Stückliste_Platine_APA_2008-09-10"/>
    <tableColumn id="13" xr3:uid="{E87423C1-FB6B-4218-9F0A-5CC239880127}" name="No of Pins/Pads" dataDxfId="819" dataCellStyle="Standard_Stückliste_Platine_APA_2008-09-10"/>
    <tableColumn id="14" xr3:uid="{091DBACD-45CE-4FC2-82A8-0263DCBDD801}" name="Package / Dimension" dataDxfId="818" dataCellStyle="Standard_Stückliste_Platine_APA_2008-09-10"/>
    <tableColumn id="15" xr3:uid="{3FC5BB2B-90C7-4388-9611-F6507437AAD9}" name="Source" dataDxfId="817" dataCellStyle="Standard_Stückliste_Platine_APA_2008-09-10"/>
    <tableColumn id="16" xr3:uid="{8A08CA19-1F5F-4234-8563-35A30EB764C9}" name="Purchasing Volume" dataDxfId="816" dataCellStyle="Standard_Stückliste_Platine_APA_2008-09-10"/>
    <tableColumn id="25" xr3:uid="{1BB62A1E-3FA5-4CD9-A8F6-8F6324B8BD46}" name="Tolerance" dataDxfId="815" dataCellStyle="Standard_Stückliste_Platine_APA_2008-09-10"/>
    <tableColumn id="17" xr3:uid="{4FE26935-6AD5-45D1-B481-7B554476DC80}" name="Researched Price" dataDxfId="814" dataCellStyle="Standard_Stückliste_Platine_APA_2008-09-10"/>
    <tableColumn id="24" xr3:uid="{84779853-80AA-4AF4-938F-E0D8A5755CED}" name="Search date" dataDxfId="813" dataCellStyle="Standard_Stückliste_Platine_APA_2008-09-10"/>
    <tableColumn id="26" xr3:uid="{336803AB-B46D-4315-B6B0-EB27F94F12CA}" name="Project factor" dataDxfId="812" dataCellStyle="Standard_Stückliste_Platine_APA_2008-09-10"/>
    <tableColumn id="18" xr3:uid="{1728A8F5-FCB8-4A68-9924-40F20CF1887C}" name="Factor" dataDxfId="811" dataCellStyle="Standard_Stückliste_Platine_APA_2008-09-10">
      <calculatedColumnFormula array="1">EBOM_Factor</calculatedColumnFormula>
    </tableColumn>
    <tableColumn id="19" xr3:uid="{5B8E47E1-77EE-4E02-A09C-11FC3C31E10D}" name="Factorized Single Price" dataDxfId="810" dataCellStyle="Standard_Stückliste_Platine_APA_2008-09-10">
      <calculatedColumnFormula>R6*U6*T6</calculatedColumnFormula>
    </tableColumn>
    <tableColumn id="20" xr3:uid="{60C80E6F-6304-4B21-8AD9-0E21D3FD0FAC}" name="Price Top Side" dataDxfId="809" dataCellStyle="Standard_Stückliste_Platine_APA_2008-09-10">
      <calculatedColumnFormula>E6*V6</calculatedColumnFormula>
    </tableColumn>
    <tableColumn id="21" xr3:uid="{4656FDB0-D07C-455C-9623-A10065AF56C0}" name="Price Bottom Side" dataDxfId="808" dataCellStyle="Standard_Stückliste_Platine_APA_2008-09-10">
      <calculatedColumnFormula>F6*V6</calculatedColumnFormula>
    </tableColumn>
    <tableColumn id="22" xr3:uid="{EC3BD4B8-2D62-4D3C-BFE0-425F1039921E}" name="Total Price" dataDxfId="807" dataCellStyle="Standard_Stückliste_Platine_APA_2008-09-10">
      <calculatedColumnFormula>X6+W6</calculatedColumnFormula>
    </tableColumn>
    <tableColumn id="23" xr3:uid="{7B63A5E9-793F-439D-A4E4-BA2A27B32A50}" name="Comment" dataDxfId="806" dataCellStyle="Standard_Stückliste_Platine_APA_2008-09-10"/>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154361C-9A52-4B23-ADD7-6A60FC70D84F}" name="tbl_Code_housing53" displayName="tbl_Code_housing53" ref="F63:J76" totalsRowShown="0" headerRowDxfId="805" dataDxfId="804" tableBorderDxfId="803" headerRowCellStyle="Standard_Stückliste_Platine_APA_2008-09-10">
  <autoFilter ref="F63:J76" xr:uid="{6D4E0199-666D-47F2-B58D-F17B7B3C449A}"/>
  <tableColumns count="5">
    <tableColumn id="1" xr3:uid="{A47DA170-93FF-41E8-BD20-344312053476}" name="Capacitor" dataDxfId="802" dataCellStyle="Standard_Stückliste_Platine_APA_2008-09-10"/>
    <tableColumn id="2" xr3:uid="{2DB0DE7D-3260-472E-BD6A-7D25CBB3C892}" name="Resistor" dataDxfId="801" dataCellStyle="Standard_Stückliste_Platine_APA_2008-09-10"/>
    <tableColumn id="3" xr3:uid="{4329785E-C8D2-41A8-9C2D-19F618A78EC4}" name="Diode / Transistor" dataDxfId="800" dataCellStyle="Standard_Stückliste_Platine_APA_2008-09-10"/>
    <tableColumn id="4" xr3:uid="{141784AF-DEF4-44AE-857B-01D3FEF6EF79}" name="Capacitor / Inductance / Ferrite" dataDxfId="799" dataCellStyle="Standard_Stückliste_Platine_APA_2008-09-10"/>
    <tableColumn id="5" xr3:uid="{9EDB2D80-773D-40DB-BE7A-0679F7AE643B}" name="Inductance / Ferrite" dataDxfId="798" dataCellStyle="Standard_Stückliste_Platine_APA_2008-09-10"/>
  </tableColumns>
  <tableStyleInfo name="TableStyleLight1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5A1FF6A2-6B3E-443F-B98C-367CF39C595D}" name="tbl_type54" displayName="tbl_type54" ref="C63:C72" totalsRowShown="0" headerRowDxfId="797" dataDxfId="796" headerRowCellStyle="Standard_Stückliste_Platine_APA_2008-09-10" dataCellStyle="Standard_Stückliste_Platine_APA_2008-09-10">
  <autoFilter ref="C63:C72" xr:uid="{B987F89C-44D3-4A03-82FA-87F40E85B8C6}"/>
  <tableColumns count="1">
    <tableColumn id="1" xr3:uid="{D318E4B7-594D-488D-99AF-19BD10FF15DC}" name="Type" dataDxfId="795" dataCellStyle="Standard_Stückliste_Platine_APA_2008-09-10"/>
  </tableColumns>
  <tableStyleInfo name="TableStyleLight1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48ED874-FE9F-41A9-86C3-876A3BE100DD}" name="Info" displayName="Info" ref="B4:R9" totalsRowShown="0" headerRowDxfId="789" dataDxfId="788">
  <autoFilter ref="B4:R9" xr:uid="{2C536DD0-FD6B-45E5-9230-66A00F674DBF}"/>
  <tableColumns count="17">
    <tableColumn id="1" xr3:uid="{45FBBDCF-5DCF-4180-9A4A-44D81073E124}" name="Bauteil" dataDxfId="787"/>
    <tableColumn id="11" xr3:uid="{76378D00-364B-4773-B5F5-4DCB3CAD7C1B}" name="Form" dataDxfId="786"/>
    <tableColumn id="9" xr3:uid="{10E79210-024F-4920-97DF-A009F23824E3}" name="Material" dataDxfId="785">
      <calculatedColumnFormula>IFERROR(VLOOKUP(Info[[#This Row],[Bauteil]],BOM,5,0),0)</calculatedColumnFormula>
    </tableColumn>
    <tableColumn id="10" xr3:uid="{AD208E7D-C43D-46D4-B622-7400EBB78919}" name="Dichte" dataDxfId="784">
      <calculatedColumnFormula array="1">IFERROR(IF(INDEX(MAT[Dichte],MATCH(Info[[#This Row],[Material]],MAT[Bezeichnung],0),)&gt;0,INDEX(MAT[Dichte],MATCH(Info[[#This Row],[Material]],MAT[Bezeichnung],0),),"[Input]"),"[Input]")</calculatedColumnFormula>
    </tableColumn>
    <tableColumn id="3" xr3:uid="{A3946B44-D4F5-4F4C-BD66-74BF97A3967D}" name="x" dataDxfId="783">
      <calculatedColumnFormula>IFERROR(VLOOKUP(Info[[#This Row],[Bauteil]],BOM,8,0),0)</calculatedColumnFormula>
    </tableColumn>
    <tableColumn id="4" xr3:uid="{CC969B2C-CB00-4B1B-AD5B-07B6E1F6BBA1}" name="y" dataDxfId="782">
      <calculatedColumnFormula>IFERROR(VLOOKUP(Info[[#This Row],[Bauteil]],BOM,9,0),0)</calculatedColumnFormula>
    </tableColumn>
    <tableColumn id="5" xr3:uid="{BB8DB370-3D83-4545-90E5-76DB2D770037}" name="z" dataDxfId="781">
      <calculatedColumnFormula>IFERROR(VLOOKUP(Info[[#This Row],[Bauteil]],BOM,10,0),0)</calculatedColumnFormula>
    </tableColumn>
    <tableColumn id="6" xr3:uid="{2B15D26A-AEA7-4AB6-91AE-6A3F90FE5DF5}" name="t" dataDxfId="780">
      <calculatedColumnFormula>IFERROR(VLOOKUP(Info[[#This Row],[Bauteil]],BOM,11,0),0)</calculatedColumnFormula>
    </tableColumn>
    <tableColumn id="7" xr3:uid="{F384A9CD-E1D4-4317-8A09-329C9DBD4AF1}" name="Ø außen" dataDxfId="779">
      <calculatedColumnFormula>Info[[#This Row],[x]]</calculatedColumnFormula>
    </tableColumn>
    <tableColumn id="8" xr3:uid="{60DFEAB1-57C1-4E14-81F4-C9058441890A}" name="Ø innen" dataDxfId="778">
      <calculatedColumnFormula>0</calculatedColumnFormula>
    </tableColumn>
    <tableColumn id="2" xr3:uid="{D0E0315A-E5AF-486C-A7D4-5D8E31B9D1A9}" name="Faktor" dataDxfId="777">
      <calculatedColumnFormula>1</calculatedColumnFormula>
    </tableColumn>
    <tableColumn id="15" xr3:uid="{B135D93B-27F3-4A99-B713-54B6666B9D71}" name="Oberfläche" dataDxfId="776">
      <calculatedColumnFormula>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calculatedColumnFormula>
    </tableColumn>
    <tableColumn id="16" xr3:uid="{FDE9779B-9B9E-4761-B48C-BE775ADE036C}" name="Proj. Fläche" dataDxfId="775">
      <calculatedColumnFormula>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calculatedColumnFormula>
    </tableColumn>
    <tableColumn id="14" xr3:uid="{E46D71E4-FBDD-48BA-AB07-FE78834543D3}" name="Volumen" dataDxfId="774">
      <calculatedColumnFormula>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calculatedColumnFormula>
    </tableColumn>
    <tableColumn id="12" xr3:uid="{2841FDE1-8BB9-43EF-BAA1-50EE5B53E40A}" name="Masse in g" dataDxfId="773">
      <calculatedColumnFormula>IFERROR(Info[[#This Row],[Volumen]]*Info[[#This Row],[Dichte]]/1000,0)</calculatedColumnFormula>
    </tableColumn>
    <tableColumn id="13" xr3:uid="{D0CF5FF2-E906-4F88-8CAB-D7B1220628C2}" name="Masse" dataDxfId="772">
      <calculatedColumnFormula>Info[[#This Row],[Masse in g]]/1000</calculatedColumnFormula>
    </tableColumn>
    <tableColumn id="17" xr3:uid="{972767D1-D939-4B3A-8B0C-CE9C13AF9EC9}" name="Anmerkungen" dataDxfId="771"/>
  </tableColumns>
  <tableStyleInfo name="TableStyleMedium6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AAD3C6A-4727-48E6-9217-A760634607BE}" name="MGK" displayName="MGK" comment="IndirectCosts" ref="B6:AQ26" tableType="queryTable" totalsRowShown="0" headerRowDxfId="770" dataDxfId="768" headerRowBorderDxfId="769" tableBorderDxfId="767">
  <autoFilter ref="B6:AQ26" xr:uid="{FB67E6DD-9F73-4C17-A8AC-18FA3C95FE46}"/>
  <tableColumns count="42">
    <tableColumn id="37" xr3:uid="{7E151D90-32A0-47E4-8032-601C65BA011E}" uniqueName="37" name="ID" queryTableFieldId="37" dataDxfId="766">
      <calculatedColumnFormula>IF(Language="DE",MGK[[#This Row],[DE]],MGK[[#This Row],[EN]])</calculatedColumnFormula>
    </tableColumn>
    <tableColumn id="10" xr3:uid="{37E737A7-5AA2-4B1A-A219-752A826B188C}" uniqueName="10" name="DE" queryTableFieldId="10" dataDxfId="765"/>
    <tableColumn id="11" xr3:uid="{E1552E24-1FDC-495A-BD2A-1A8E070C9B7C}" uniqueName="11" name="EN" queryTableFieldId="11" dataDxfId="764"/>
    <tableColumn id="2" xr3:uid="{8F6C0BEA-51DD-4FEB-9D08-DE3496B4F99A}" uniqueName="2" name="Bestellaufwand" queryTableFieldId="2" dataDxfId="763"/>
    <tableColumn id="3" xr3:uid="{87ECB7AF-1126-43F9-8B99-4262348935DC}" uniqueName="3" name="Lagerart" queryTableFieldId="3" dataDxfId="762"/>
    <tableColumn id="4" xr3:uid="{2FE5C49E-6DDD-4417-BA50-A5E649689D93}" uniqueName="4" name="Handling" queryTableFieldId="4" dataDxfId="761"/>
    <tableColumn id="5" xr3:uid="{41F32AF9-EF56-4B04-ADB3-A3144C4005C8}" uniqueName="5" name="Prüfaufwand" queryTableFieldId="5" dataDxfId="760"/>
    <tableColumn id="6" xr3:uid="{A49DAD17-94D4-4B4E-AD97-3D432C0BA1BE}" uniqueName="6" name="Spezifiaktion" queryTableFieldId="6" dataDxfId="759"/>
    <tableColumn id="43" xr3:uid="{DCBDEF51-D610-4A4F-AB38-F4C3E82FEDC6}" uniqueName="43" name="Bestellzyklus" queryTableFieldId="64" dataDxfId="758" dataCellStyle="Komma"/>
    <tableColumn id="7" xr3:uid="{6F94C52A-3FCB-43AF-8115-2EE1B516C772}" uniqueName="7" name="Lagerreichweite" queryTableFieldId="7" dataDxfId="757"/>
    <tableColumn id="1" xr3:uid="{75F80A3A-F531-4C0A-8CEC-7B8F7B0B81DD}" uniqueName="1" name="Stk." queryTableFieldId="51" dataDxfId="756" dataCellStyle="Komma"/>
    <tableColumn id="8" xr3:uid="{AEB96276-A881-41C1-AEFA-C5FEB9B28539}" uniqueName="8" name="kg" queryTableFieldId="52" dataDxfId="755"/>
    <tableColumn id="38" xr3:uid="{DC676DC6-EB03-43B3-89B1-311EA1125824}" uniqueName="38" name="l" queryTableFieldId="53" dataDxfId="754"/>
    <tableColumn id="39" xr3:uid="{C883D29F-6B67-4C40-BE93-719280D0DBE2}" uniqueName="39" name="m" queryTableFieldId="54" dataDxfId="753"/>
    <tableColumn id="40" xr3:uid="{54A715A6-EF85-4DD5-B6CE-45B779FE06FE}" uniqueName="40" name="m²" queryTableFieldId="55" dataDxfId="752"/>
    <tableColumn id="41" xr3:uid="{6F24D3F4-02A8-4B23-89F2-5B94C5079D64}" uniqueName="41" name="m³" queryTableFieldId="56" dataDxfId="751"/>
    <tableColumn id="9" xr3:uid="{4F9108A0-1286-4391-BA92-8F7140FEAE40}" uniqueName="9" name="Fläche je Lagereinheit" queryTableFieldId="9" dataDxfId="750" dataCellStyle="Komma"/>
    <tableColumn id="12" xr3:uid="{9BA18C58-A262-47DF-8E04-2BCAE1523BFB}" uniqueName="12" name="Lagerbediengerät" queryTableFieldId="12" dataDxfId="749">
      <calculatedColumnFormula>IFERROR(INDEX(MGKMHR[Gerät],MATCH(MGK[[#This Row],[Lagerart]],MGKMHR[Bezeichnung],0)),0)</calculatedColumnFormula>
    </tableColumn>
    <tableColumn id="13" xr3:uid="{50403C43-7A4C-4AD4-946E-A067DACA2A77}" uniqueName="13" name="EK" queryTableFieldId="13" dataDxfId="748">
      <calculatedColumnFormula array="1">IFERROR(IF(MGK[[#This Row],[Bestellaufwand]]="gering",0.25, IF(MGK[[#This Row],[Bestellaufwand]]="mittel",1.5,IF(MGK[[#This Row],[Bestellaufwand]]="hoch",8,0))),0)
+IFERROR(IF(MGK[[#This Row],[Bestellaufwand]]="gering",0.25, IF(MGK[[#This Row],[Bestellaufwand]]="mittel",0.5,IF(MGK[[#This Row],[Bestellaufwand]]="hoch",1,0)))*OrdersPerYear,0)</calculatedColumnFormula>
    </tableColumn>
    <tableColumn id="14" xr3:uid="{8D2C4AF4-B973-4F65-A239-3A238F198237}" uniqueName="14" name="PI" queryTableFieldId="14" dataDxfId="747">
      <calculatedColumnFormula>SUM(MGK[[#This Row],[Maße]:[Elekronik]])</calculatedColumnFormula>
    </tableColumn>
    <tableColumn id="15" xr3:uid="{30B09895-087D-41B7-9335-5DA0BE58F361}" uniqueName="15" name="LA" queryTableFieldId="15" dataDxfId="746">
      <calculatedColumnFormula array="1">IFERROR(INDEX(MGKMHR[Handling],MATCH(MGK[[#This Row],[Lagerart]],MGKMHR[Bezeichnung],0))
*(OrdersPerYear+52/MGK[[#This Row],[Lagerreichweite]])*IF(MGK[[#This Row],[Handling]]="gering",0.25,IF(MGK[[#This Row],[Handling]]="hoch",2,1)),0)</calculatedColumnFormula>
    </tableColumn>
    <tableColumn id="16" xr3:uid="{9BC018F7-75B6-4AC5-AAAD-F2078ACD64C3}" uniqueName="16" name="Maße" queryTableFieldId="16" dataDxfId="745">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7" xr3:uid="{53D70DC8-723B-4DE5-B144-EF820812C2E3}" uniqueName="17" name="Gewicht" queryTableFieldId="17" dataDxfId="744">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8" xr3:uid="{9D04F174-E3FE-4CD3-85B0-7C2430B4EBEA}" uniqueName="18" name="Werkstoff" queryTableFieldId="18" dataDxfId="743">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9" xr3:uid="{0C63D891-AFB3-4B41-8727-8EA27D8B353D}" uniqueName="19" name="Funktion" queryTableFieldId="19" dataDxfId="742">
      <calculatedColumnFormula array="1">OrdersPerYear*IF(MGK[[#This Row],[Prüfaufwand]]="gering",0.25,IF(MGK[[#This Row],[Prüfaufwand]]="mittel",0.5,IF(MGK[[#This Row],[Prüfaufwand]]="hoch",1,0)))
*IF(MGK[[#This Row],[Spezifiaktion]]="Zusammenbau",1,0)*1</calculatedColumnFormula>
    </tableColumn>
    <tableColumn id="20" xr3:uid="{528F0D66-13AA-4464-82B9-D377DFADD3DA}" uniqueName="20" name="Röntgen" queryTableFieldId="20" dataDxfId="741">
      <calculatedColumnFormula array="1">OrdersPerYear*IF(MGK[[#This Row],[Prüfaufwand]]="hoch",1,0)
*IF(MGK[[#This Row],[Spezifiaktion]]="Zusammenbau",1,0)*0.25</calculatedColumnFormula>
    </tableColumn>
    <tableColumn id="21" xr3:uid="{7342A9E7-8865-498C-9AAD-969F810FD70F}" uniqueName="21" name="Magnetpulver" queryTableFieldId="21" dataDxfId="740">
      <calculatedColumnFormula array="1">OrdersPerYear*IF(MGK[[#This Row],[Prüfaufwand]]="hoch",1,0)
*IF(MGK[[#This Row],[Spezifiaktion]]="Zusammenbau",1,0)*0.25</calculatedColumnFormula>
    </tableColumn>
    <tableColumn id="22" xr3:uid="{466D6C27-455D-49A2-95BE-B3CADE2AAE0D}" uniqueName="22" name="Dauertest" queryTableFieldId="22" dataDxfId="739">
      <calculatedColumnFormula array="1">OrdersPerYear*IF(MGK[[#This Row],[Prüfaufwand]]="mittel",0.5,IF(MGK[[#This Row],[Prüfaufwand]]="hoch",1,0))
*IF(MGK[[#This Row],[Spezifiaktion]]="Zusammenbau",1,0)*1.5</calculatedColumnFormula>
    </tableColumn>
    <tableColumn id="23" xr3:uid="{06AC925B-CB0B-4566-B88A-6DC56ADF5AEA}" uniqueName="23" name="Farbechtheit" queryTableFieldId="23" dataDxfId="738">
      <calculatedColumnFormula array="1">OrdersPerYear*IF(MGK[[#This Row],[Prüfaufwand]]="hoch",1,0)
*IF(MGK[[#This Row],[Spezifiaktion]]="Zusammenbau",1,0)*0.25</calculatedColumnFormula>
    </tableColumn>
    <tableColumn id="24" xr3:uid="{948DDB10-D552-4A5D-B996-964B382AA188}" uniqueName="24" name="Elekronik" queryTableFieldId="24" dataDxfId="737">
      <calculatedColumnFormula array="1">OrdersPerYear*IF(MGK[[#This Row],[Bestellaufwand]]="gering",0.15,IF(MGK[[#This Row],[Bestellaufwand]]="mittel",0.5,IF(MGK[[#This Row],[Prüfaufwand]]="hoch",1,0)))
*IF(MGK[[#This Row],[Spezifiaktion]]="Elektronik",1,0)*1</calculatedColumnFormula>
    </tableColumn>
    <tableColumn id="25" xr3:uid="{83811ECF-516B-4746-ADC1-C0EBA74B7FB1}" uniqueName="25" name="Q-Invest" queryTableFieldId="25" dataDxfId="736">
      <calculatedColumnFormula array="1">IFERROR(SUMPRODUCT(MGK[[#This Row],[Maße]:[Elekronik]],TRANSPOSE($AT$8:$AT$16))*ExchangeRate/SUM(MGK[[#This Row],[Maße]:[Elekronik]]),0)</calculatedColumnFormula>
    </tableColumn>
    <tableColumn id="26" xr3:uid="{1C207086-AB57-4A0D-81DE-5B8E2429BB5C}" uniqueName="26" name="Q-€" queryTableFieldId="26" dataDxfId="735">
      <calculatedColumnFormula array="1">IFERROR((SUMPRODUCT(MGK[[#This Row],[Maße]:[Elekronik]],TRANSPOSE($AT$8:$AT$16),1/TRANSPOSE($AU$8:$AU$16))+SUMPRODUCT(MGK[[#This Row],[Maße]:[Elekronik]],TRANSPOSE($AT$8:$AT$16),TRANSPOSE($AY$8:$AY$16))+SUMPRODUCT(MGK[[#This Row],[Maße]:[Elekronik]],TRANSPOSE($AT$8:$AT$16),TRANSPOSE($AZ$8:$AZ$16)))*ExchangeRate/(250*8*0.8)/SUM(MGK[[#This Row],[Maße]:[Elekronik]]),0)</calculatedColumnFormula>
    </tableColumn>
    <tableColumn id="27" xr3:uid="{6D943508-2D63-446A-9055-712F7E14CDB0}" uniqueName="27" name="Q-kWh" queryTableFieldId="27" dataDxfId="734">
      <calculatedColumnFormula array="1">IFERROR(SUMPRODUCT(MGK[[#This Row],[Maße]:[Elekronik]],TRANSPOSE($AV$8:$AV$16),TRANSPOSE($AW$8:$AW$16))/SUM(MGK[[#This Row],[Maße]:[Elekronik]]),0)</calculatedColumnFormula>
    </tableColumn>
    <tableColumn id="28" xr3:uid="{6F2DDCC4-BC8F-4A81-B89D-8FF40751CF3A}" uniqueName="28" name="Q-m²" queryTableFieldId="28" dataDxfId="733">
      <calculatedColumnFormula array="1">IFERROR(SUMPRODUCT(MGK[[#This Row],[Maße]:[Elekronik]],TRANSPOSE($AX$8:$AX$16))/SUM(MGK[[#This Row],[Maße]:[Elekronik]]),0)</calculatedColumnFormula>
    </tableColumn>
    <tableColumn id="29" xr3:uid="{CBB9BD54-F163-49AA-BB2C-28BD22BB5909}" uniqueName="29" name="L-Invest" queryTableFieldId="29" dataDxfId="732">
      <calculatedColumnFormula>IFERROR(INDEX(MGKMHR[Invest],MATCH(MGK[[#This Row],[Lagerart]],MGKMHR[Bezeichnung],0))*ExchangeRate,0)</calculatedColumnFormula>
    </tableColumn>
    <tableColumn id="30" xr3:uid="{CC43E13B-F3AB-4886-B30D-E570AB158781}" uniqueName="30" name="L-€" queryTableFieldId="30" dataDxfId="731">
      <calculatedColumnFormula>IFERROR(MGK[[#This Row],[L-Invest]]*(1/INDEX(MGKMHR[AfA],MATCH(MGK[[#This Row],[Lagerart]],MGKMHR[Bezeichnung],0))+INDEX(MGKMHR[Verbrauchsmaterial],MATCH(MGK[[#This Row],[Lagerart]],MGKMHR[Bezeichnung],0))+INDEX(MGKMHR[Instandhaltung],MATCH(MGK[[#This Row],[Lagerart]],MGKMHR[Bezeichnung],0)))/(365*24),0)</calculatedColumnFormula>
    </tableColumn>
    <tableColumn id="31" xr3:uid="{CB6342D3-3AAA-41E0-B6F8-B267A779C2F9}" uniqueName="31" name="L-kWh" queryTableFieldId="31" dataDxfId="730">
      <calculatedColumnFormula>IFERROR(INDEX(MGKMHR[Strom],MATCH(MGK[[#This Row],[Lagerart]],MGKMHR[Bezeichnung],0))*INDEX(MGKMHR[Faktor],MATCH(MGK[[#This Row],[Lagerart]],MGKMHR[Bezeichnung],0)),0)</calculatedColumnFormula>
    </tableColumn>
    <tableColumn id="32" xr3:uid="{7D50F81E-94EE-453D-A762-86055ABC8C0D}" uniqueName="32" name="L-m²" queryTableFieldId="32" dataDxfId="729">
      <calculatedColumnFormula>IFERROR(INDEX(MGKMHR[Fläche],MATCH(MGK[[#This Row],[Lagerart]],MGKMHR[Bezeichnung],0)),0)</calculatedColumnFormula>
    </tableColumn>
    <tableColumn id="33" xr3:uid="{70A6E78F-6892-41BF-96D3-81EB66DE8CB3}" uniqueName="33" name="B-Invest" queryTableFieldId="33" dataDxfId="728">
      <calculatedColumnFormula>IFERROR(INDEX(MGKMHR[Invest],MATCH(MGK[[#This Row],[Lagerbediengerät]],MGKMHR[Bezeichnung],0))*ExchangeRate,0)</calculatedColumnFormula>
    </tableColumn>
    <tableColumn id="34" xr3:uid="{83B81036-17FD-43A5-88DE-D2C15FCDB564}" uniqueName="34" name="B-€" queryTableFieldId="34" dataDxfId="727">
      <calculatedColumnFormula>IFERROR(MGK[[#This Row],[B-Invest]]*(1/INDEX(MGKMHR[AfA],MATCH(MGK[[#This Row],[Lagerbediengerät]],MGKMHR[Bezeichnung],0))+INDEX(MGKMHR[Verbrauchsmaterial],MATCH(MGK[[#This Row],[Lagerbediengerät]],MGKMHR[Bezeichnung],0))+INDEX(MGKMHR[Instandhaltung],MATCH(MGK[[#This Row],[Lagerbediengerät]],MGKMHR[Bezeichnung],0)))/(250*16*0.8),0)</calculatedColumnFormula>
    </tableColumn>
    <tableColumn id="35" xr3:uid="{2F72DE54-F469-4E66-818E-2D61FA0E23B0}" uniqueName="35" name="B-kWh" queryTableFieldId="35" dataDxfId="726">
      <calculatedColumnFormula>IFERROR(INDEX(MGKMHR[Strom],MATCH(MGK[[#This Row],[Lagerbediengerät]],MGKMHR[Bezeichnung],0))*INDEX(MGKMHR[Faktor],MATCH(MGK[[#This Row],[Lagerbediengerät]],MGKMHR[Bezeichnung],0)),0)</calculatedColumnFormula>
    </tableColumn>
    <tableColumn id="36" xr3:uid="{63DB63C4-0EF5-4B8F-854F-EE6DD1F266AE}" uniqueName="36" name="B-m²" queryTableFieldId="36" dataDxfId="725">
      <calculatedColumnFormula>IFERROR(INDEX(MGKMHR[Fläche],MATCH(MGK[[#This Row],[Lagerbediengerät]],MGKMHR[Bezeichnung],0)),0)</calculatedColumnFormula>
    </tableColumn>
  </tableColumns>
  <tableStyleInfo name="Tabellenformat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2D45AA95-D2EC-4088-B41D-76C841AE55F3}" name="MGKMHR" displayName="MGKMHR" comment="IndirectCosts" ref="AS6:BB26" tableType="queryTable" totalsRowShown="0" headerRowDxfId="724" dataDxfId="723" tableBorderDxfId="722">
  <autoFilter ref="AS6:BB26" xr:uid="{7E22567A-4C18-47A3-95AB-77CDCE08820A}"/>
  <tableColumns count="10">
    <tableColumn id="1" xr3:uid="{F52B191E-F5E3-49D0-A9BD-5217A5CB174C}" uniqueName="1" name="Bezeichnung" queryTableFieldId="1" dataDxfId="721"/>
    <tableColumn id="2" xr3:uid="{4DAC8912-447A-4C7A-839C-BAC3A0D37508}" uniqueName="2" name="Invest" queryTableFieldId="2" dataDxfId="720"/>
    <tableColumn id="3" xr3:uid="{8475885C-6A0F-41F8-BBEF-28789419D740}" uniqueName="3" name="AfA" queryTableFieldId="3" dataDxfId="719"/>
    <tableColumn id="4" xr3:uid="{19E3D4E0-4E4D-4634-940D-4243D44E7440}" uniqueName="4" name="Strom" queryTableFieldId="4" dataDxfId="718"/>
    <tableColumn id="5" xr3:uid="{ABF83C6E-01BC-4E30-AE28-30F39C16D268}" uniqueName="5" name="Faktor" queryTableFieldId="5" dataDxfId="717"/>
    <tableColumn id="6" xr3:uid="{0810B018-A4D8-41CE-B156-547A48D52727}" uniqueName="6" name="Fläche" queryTableFieldId="6" dataDxfId="716"/>
    <tableColumn id="7" xr3:uid="{C0A21D52-3CFC-4C67-A23B-AC1914F8AB79}" uniqueName="7" name="Verbrauchsmaterial" queryTableFieldId="7" dataDxfId="715" dataCellStyle="Prozent"/>
    <tableColumn id="8" xr3:uid="{810BF5F3-521F-41E0-B533-81C11350E08C}" uniqueName="8" name="Instandhaltung" queryTableFieldId="8" dataDxfId="714" dataCellStyle="Prozent"/>
    <tableColumn id="9" xr3:uid="{0954C9C3-A7B3-4221-A049-8C846F065D05}" uniqueName="9" name="Gerät" queryTableFieldId="9" dataDxfId="713" dataCellStyle="Prozent"/>
    <tableColumn id="10" xr3:uid="{D6D6EB2A-DFF8-43D1-9130-FB3E460D8390}" uniqueName="10" name="Handling" queryTableFieldId="10" dataDxfId="712" dataCellStyle="Prozent"/>
  </tableColumns>
  <tableStyleInfo name="Tabellenformat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4A8189D-5C6B-4BFB-B538-C6B55654D47F}" name="Units" displayName="Units" ref="BI6:BK26" totalsRowShown="0" headerRowDxfId="711" dataDxfId="710" tableBorderDxfId="709">
  <autoFilter ref="BI6:BK26" xr:uid="{04A8189D-5C6B-4BFB-B538-C6B55654D47F}"/>
  <tableColumns count="3">
    <tableColumn id="1" xr3:uid="{D8A1223F-36AD-4EFC-B9A2-1915B123D656}" name="Einheit" dataDxfId="708"/>
    <tableColumn id="2" xr3:uid="{7989A1D3-5425-4DB6-A631-77C9B9BA3139}" name="Basis" dataDxfId="707"/>
    <tableColumn id="3" xr3:uid="{095002AE-8E0F-43E2-8550-A7ED45E8FFF9}" name="Faktor" dataDxfId="706"/>
  </tableColumns>
  <tableStyleInfo name="Tabellenformat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710953-C17B-4A0E-9600-13C6DCC0D738}" name="AnalysisChart1" displayName="AnalysisChart1" ref="G2:AW41" totalsRowShown="0" headerRowDxfId="703" dataDxfId="702">
  <tableColumns count="43">
    <tableColumn id="24" xr3:uid="{B239A564-A429-486D-AD45-A6F7F76F7AFA}" name=" " dataDxfId="701"/>
    <tableColumn id="19" xr3:uid="{79EBA25C-74AD-4900-932C-E786420D2091}" name="  " dataDxfId="700">
      <calculatedColumnFormula>IF(AnalysisChart1[[#This Row],[ ]]&lt;&gt;"",AnalysisChart1[[#This Row],[ ]],"")</calculatedColumnFormula>
    </tableColumn>
    <tableColumn id="1" xr3:uid="{E2E239D2-633D-4A61-95C6-3FF35699A7C3}" name="Split 1" dataDxfId="699"/>
    <tableColumn id="2" xr3:uid="{4CE8AB6D-9E05-423C-9D70-9EE6D0AC6A12}" name="Kosten" dataDxfId="698"/>
    <tableColumn id="3" xr3:uid="{611593CC-D5B7-4C08-9C3C-D088947B2644}" name="+" dataDxfId="697"/>
    <tableColumn id="28" xr3:uid="{4F9AFC57-F0CA-4D14-9602-E458200519B4}" name="#" dataDxfId="696">
      <calculatedColumnFormula>ROW()-ROW($L$2)</calculatedColumnFormula>
    </tableColumn>
    <tableColumn id="29" xr3:uid="{311A2413-149A-4792-957C-D8C7E586EE53}" name="1" dataDxfId="695"/>
    <tableColumn id="4" xr3:uid="{9412D165-B497-4733-8975-3B7AC3EE6A04}" name="2" dataDxfId="694"/>
    <tableColumn id="18" xr3:uid="{4741338C-7ABA-4461-A54C-23576CBC8CEA}" name="3" dataDxfId="693"/>
    <tableColumn id="10" xr3:uid="{4360D66D-AA68-4B7B-85B6-7F8D5AA79178}" name="4" dataDxfId="692"/>
    <tableColumn id="31" xr3:uid="{08124DFE-CEE9-4EE1-97A7-50F95845ED9A}" name="5" dataDxfId="691"/>
    <tableColumn id="6" xr3:uid="{59775B9D-F237-46E3-AB23-CBC9F383103D}" name="6" dataDxfId="690"/>
    <tableColumn id="5" xr3:uid="{A196D1A1-CF8B-40ED-AF29-D029AF7D69B1}" name="7" dataDxfId="689"/>
    <tableColumn id="11" xr3:uid="{76791CE6-62D8-46BF-B08D-2D5291988967}" name="8" dataDxfId="688"/>
    <tableColumn id="32" xr3:uid="{436F584A-893C-4C08-9378-8A652F8395B4}" name="9" dataDxfId="687"/>
    <tableColumn id="33" xr3:uid="{2764552D-84C5-4E37-A48B-B7E9D845F461}" name="10" dataDxfId="686"/>
    <tableColumn id="34" xr3:uid="{687331FD-401C-4B79-9D36-1DD960F61B67}" name="11" dataDxfId="685"/>
    <tableColumn id="35" xr3:uid="{9DEE833D-9FD5-4C46-A8AD-732C4DDF4B62}" name="12" dataDxfId="684"/>
    <tableColumn id="8" xr3:uid="{B7AF099F-2818-4785-BB3E-8944E0E9C318}" name="13" dataDxfId="683"/>
    <tableColumn id="7" xr3:uid="{DF492475-95A9-4425-9B91-24F478E66F3B}" name="14" dataDxfId="682"/>
    <tableColumn id="12" xr3:uid="{D77EF7C1-4489-44F3-927A-9BC8BBB84AB2}" name="15" dataDxfId="681"/>
    <tableColumn id="36" xr3:uid="{8E075164-C665-48F4-8AEE-135EC764EB00}" name="16" dataDxfId="680"/>
    <tableColumn id="37" xr3:uid="{2F76592F-8CA9-4574-9E37-7053A97BAFB9}" name="17" dataDxfId="679"/>
    <tableColumn id="13" xr3:uid="{6856B2DA-4E45-4205-9BAE-1F16A8CA6CD1}" name="18" dataDxfId="678"/>
    <tableColumn id="38" xr3:uid="{5C513157-DC19-48A2-8C64-CC2F06C78F18}" name="19" dataDxfId="677"/>
    <tableColumn id="39" xr3:uid="{493975ED-5EB8-423E-AA4C-FE2939F54ADD}" name="20" dataDxfId="676"/>
    <tableColumn id="40" xr3:uid="{22D383CD-8D51-4E2B-B8AD-162C4EA96596}" name="22" dataDxfId="675"/>
    <tableColumn id="41" xr3:uid="{C40800A4-2517-45F6-A65C-DB31FF36DE19}" name="23" dataDxfId="674"/>
    <tableColumn id="14" xr3:uid="{C5F741AB-EAFF-47A9-AE4C-11D36586027B}" name="24" dataDxfId="673"/>
    <tableColumn id="42" xr3:uid="{2C3B9F94-407C-405E-A402-8CCB311E808F}" name="25" dataDxfId="672"/>
    <tableColumn id="15" xr3:uid="{4CE307E2-10D2-4011-B1AD-2FED2C039B56}" name="26" dataDxfId="671"/>
    <tableColumn id="43" xr3:uid="{954CF0EC-11FA-4F12-B79C-5290AE576F7C}" name="27" dataDxfId="670"/>
    <tableColumn id="44" xr3:uid="{B3339241-CDDA-45D3-8AB7-9931E0F224ED}" name="28" dataDxfId="669"/>
    <tableColumn id="45" xr3:uid="{A457F3B8-EC6D-4788-BB8F-68BA01192CF8}" name="29" dataDxfId="668"/>
    <tableColumn id="46" xr3:uid="{85D87924-3899-4DD1-ACE7-EB5584777BF5}" name="30" dataDxfId="667"/>
    <tableColumn id="47" xr3:uid="{34F85811-B264-47A0-A0F4-332C8D1079B6}" name="31" dataDxfId="666"/>
    <tableColumn id="48" xr3:uid="{F7E68264-EFC4-4485-B775-76819762B23B}" name="32" dataDxfId="665"/>
    <tableColumn id="49" xr3:uid="{4C17B2CC-99E7-49AE-870D-B22BC5EA77BE}" name="33" dataDxfId="664"/>
    <tableColumn id="16" xr3:uid="{35DA4070-91AC-4F5C-B81E-268188E42388}" name="34" dataDxfId="663"/>
    <tableColumn id="9" xr3:uid="{4F7EDEA4-251D-43F0-938B-692AFC071546}" name="35" dataDxfId="662"/>
    <tableColumn id="50" xr3:uid="{2397EF23-B9CF-4561-98EA-96AF3A5FD0F7}" name="36" dataDxfId="661"/>
    <tableColumn id="17" xr3:uid="{561C5A36-2A21-4B6A-B8A5-7AC7177A1D41}" name="37" dataDxfId="660"/>
    <tableColumn id="51" xr3:uid="{199F1EB4-D976-42DA-B260-500F23ECE267}" name="38" dataDxfId="659"/>
  </tableColumns>
  <tableStyleInfo name="Tabellenformat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E5A6A9-4EFA-40D8-B2B3-536BA1BDD227}" name="AnalysisData2" displayName="AnalysisData2" ref="B35:E41" totalsRowShown="0" headerRowDxfId="658" dataDxfId="656" headerRowBorderDxfId="657">
  <tableColumns count="4">
    <tableColumn id="3" xr3:uid="{0CED3116-0463-4019-BEB8-CD110B0C9FA0}" name="#" dataDxfId="655">
      <calculatedColumnFormula>ROW()-35</calculatedColumnFormula>
    </tableColumn>
    <tableColumn id="1" xr3:uid="{0BED3C71-FFE1-4C1F-9879-914295F573D5}" name="Components" dataDxfId="654"/>
    <tableColumn id="4" xr3:uid="{20AFC6D6-73BE-4438-9305-CCADE5B045D2}" name="Kosten" dataDxfId="653"/>
    <tableColumn id="2" xr3:uid="{45E94AA6-A6DB-4EAE-9A3B-D06BEB26D2D5}" name=" " dataDxfId="652"/>
  </tableColumns>
  <tableStyleInfo name="Tabellenformat 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32A653F-9AA4-467A-B7D2-B46D58CD8F33}" name="AnalysisChart2" displayName="AnalysisChart2" ref="AY2:CF32" totalsRowShown="0" headerRowDxfId="651" dataDxfId="650" tableBorderDxfId="649">
  <tableColumns count="34">
    <tableColumn id="24" xr3:uid="{69E64291-2D76-460C-B336-91114955AD12}" name=" " dataDxfId="648"/>
    <tableColumn id="9" xr3:uid="{BDBAC979-3A7B-43C9-B461-D4AE3732EE66}" name="  " dataDxfId="647">
      <calculatedColumnFormula>IF(AnalysisChart2[[#This Row],[ ]]&lt;&gt;"",AnalysisChart2[[#This Row],[ ]],"")</calculatedColumnFormula>
    </tableColumn>
    <tableColumn id="1" xr3:uid="{D1E4808D-EE8E-424F-9A78-1EA07C62A55B}" name="Split 2" dataDxfId="646"/>
    <tableColumn id="2" xr3:uid="{244122EB-38E7-49A8-8B68-0C97D50A1E04}" name="Kosten" dataDxfId="645"/>
    <tableColumn id="3" xr3:uid="{23B88595-7BDC-4E58-B55D-0017494F0CB5}" name="+" dataDxfId="644"/>
    <tableColumn id="28" xr3:uid="{E98B3338-BB66-4428-935A-3C2732C38625}" name="#" dataDxfId="643">
      <calculatedColumnFormula>ROW()-ROW($L$2)</calculatedColumnFormula>
    </tableColumn>
    <tableColumn id="29" xr3:uid="{85D45DD0-D9A9-487C-8389-1231E5D73AB3}" name="1" dataDxfId="642"/>
    <tableColumn id="4" xr3:uid="{4AD62872-1E12-48D7-81DD-ECCE4E0CBF81}" name="2" dataDxfId="641"/>
    <tableColumn id="18" xr3:uid="{10A3313E-1B83-4FE7-A6D1-17EFCF48D888}" name="3" dataDxfId="640"/>
    <tableColumn id="10" xr3:uid="{8C598722-A2D2-4873-98A7-9D23DDCF1556}" name="4" dataDxfId="639"/>
    <tableColumn id="19" xr3:uid="{9D84CD46-AF43-44F1-BE16-F98F5AC7DB0A}" name="5" dataDxfId="638"/>
    <tableColumn id="31" xr3:uid="{9186D365-8541-4A01-82B3-C319F4C4BFC7}" name="6" dataDxfId="637"/>
    <tableColumn id="6" xr3:uid="{970D8751-EF47-45A4-A1A1-264CA8E1BA34}" name="7" dataDxfId="636"/>
    <tableColumn id="5" xr3:uid="{E733FC6C-2823-4344-B482-DA7E7B35484D}" name="8" dataDxfId="635"/>
    <tableColumn id="11" xr3:uid="{911F5A63-71D9-4C2B-B29C-F96A492A5DE6}" name="9" dataDxfId="634"/>
    <tableColumn id="32" xr3:uid="{6E595AE6-BBE1-4B8F-BABD-43A4639F6B15}" name="10" dataDxfId="633"/>
    <tableColumn id="33" xr3:uid="{EF495323-B499-41AB-8F2D-062590F5A021}" name="11" dataDxfId="632"/>
    <tableColumn id="34" xr3:uid="{2197C4CA-DAD2-47EC-9A0F-2AE004BA5F90}" name="12" dataDxfId="631"/>
    <tableColumn id="35" xr3:uid="{C5F3FE71-DD03-45F3-9968-E9032538E5A3}" name="13" dataDxfId="630"/>
    <tableColumn id="8" xr3:uid="{4599D584-C6C4-468E-8A61-A40EBCE8066D}" name="14" dataDxfId="629"/>
    <tableColumn id="7" xr3:uid="{F6A4375F-6CAE-40BD-83D4-D45272C5ED12}" name="15" dataDxfId="628"/>
    <tableColumn id="12" xr3:uid="{283EE334-EA6E-4F9B-B719-3710F0606434}" name="16" dataDxfId="627"/>
    <tableColumn id="20" xr3:uid="{6DAD7A33-F33A-49A7-ABE0-86A9056EE9D1}" name="17" dataDxfId="626"/>
    <tableColumn id="37" xr3:uid="{2D04C57E-4FC9-4D6E-BE74-49D2CAB8F407}" name="19" dataDxfId="625"/>
    <tableColumn id="13" xr3:uid="{0595EBBF-637B-4753-BEA8-B14D40FF0B77}" name="20" dataDxfId="624"/>
    <tableColumn id="21" xr3:uid="{AB94635E-AB47-4DEB-87B1-019430CDDB20}" name="21" dataDxfId="623"/>
    <tableColumn id="38" xr3:uid="{BFA4082D-A69E-44DA-88B4-5A2CF7F3CDE6}" name="22" dataDxfId="622"/>
    <tableColumn id="39" xr3:uid="{CDEFF6E3-9D7F-41FA-A1DC-2F17A275298B}" name="23" dataDxfId="621"/>
    <tableColumn id="40" xr3:uid="{C31641FB-86E9-49BD-B3D4-6ADCE27AF2C9}" name="24" dataDxfId="620"/>
    <tableColumn id="41" xr3:uid="{795B6D9D-70C8-4C5F-802E-AD9D9DFC2811}" name="25" dataDxfId="619"/>
    <tableColumn id="14" xr3:uid="{6D858523-684E-473E-A185-7F6DF806E381}" name="26" dataDxfId="618"/>
    <tableColumn id="42" xr3:uid="{A0A7E8EE-E182-4648-8037-863C67C3BCF2}" name="27" dataDxfId="617"/>
    <tableColumn id="15" xr3:uid="{84A32548-CBD6-43BA-BB3B-D38A1C7C2226}" name="28" dataDxfId="616"/>
    <tableColumn id="51" xr3:uid="{68383BE7-02EC-477A-83EA-40BFC2F0F261}" name="29" dataDxfId="615"/>
  </tableColumns>
  <tableStyleInfo name="Tabellenformat 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C36597-9BA5-45FA-ABBE-70AC9E4B1801}" name="AnalysisData1" displayName="AnalysisData1" ref="B2:E33" totalsRowShown="0" headerRowDxfId="614" dataDxfId="613">
  <tableColumns count="4">
    <tableColumn id="4" xr3:uid="{319B0B5B-6350-49C8-AED4-8F28005FE06E}" name="#" dataDxfId="612"/>
    <tableColumn id="1" xr3:uid="{99293EA7-3C22-4700-AB36-F97CD954299C}" name="Kostenarten" dataDxfId="611"/>
    <tableColumn id="2" xr3:uid="{40C1DAC2-DEF0-43BD-9A77-965FB771F165}" name="Kosten" dataDxfId="610"/>
    <tableColumn id="5" xr3:uid="{78A1EECD-8A17-4E5D-97F2-6AFFCD0B49FD}" name="Spalte" dataDxfId="609"/>
  </tableColumns>
  <tableStyleInfo name="Tabellenformat 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F7E7527-AB03-4FB6-AEA5-0DABEFD4EE87}" name="DocCalculation" displayName="DocCalculation" comment="Documentation" ref="B5:L108" totalsRowShown="0" headerRowDxfId="596" dataDxfId="595">
  <autoFilter ref="B5:L108" xr:uid="{B60A49CC-ED49-43B3-997A-CE5BDB24A8D7}"/>
  <tableColumns count="11">
    <tableColumn id="1" xr3:uid="{BDEB7B5F-03D6-4191-9172-454A42149452}" name="Column" dataDxfId="594"/>
    <tableColumn id="8" xr3:uid="{9159A626-33CC-476E-B77E-F2A25E09B577}" name="Header EN" dataDxfId="593">
      <calculatedColumnFormula>DocCalculation[[#This Row],[Category EN]]&amp;IF(LEN(DocCalculation[[#This Row],[Subcategory EN]])&gt;0," 
" &amp;DocCalculation[[#This Row],[Subcategory EN]],)</calculatedColumnFormula>
    </tableColumn>
    <tableColumn id="9" xr3:uid="{237C4806-C75D-4A86-AD31-8C13CCC773AF}" name="Body EN" dataDxfId="592"/>
    <tableColumn id="7" xr3:uid="{CB0D0A05-F152-4C75-86CC-5DCB1524F6B7}" name="Header DE" dataDxfId="591">
      <calculatedColumnFormula>DocCalculation[[#This Row],[Category DE]]&amp;IF(LEN(DocCalculation[[#This Row],[Subcategory DE]])&gt;0," 
" &amp;DocCalculation[[#This Row],[Subcategory DE]],)</calculatedColumnFormula>
    </tableColumn>
    <tableColumn id="4" xr3:uid="{53E0C6CF-2887-448B-8C48-5DE1F08FCD35}" name="Body DE" dataDxfId="590"/>
    <tableColumn id="11" xr3:uid="{1EA94407-1B95-460E-B9A9-76E6F54519A3}" name="Category EN" dataDxfId="589"/>
    <tableColumn id="10" xr3:uid="{D31B9562-80EE-44C2-B97D-A09F45C549D7}" name="Subcategory EN" dataDxfId="588"/>
    <tableColumn id="5" xr3:uid="{FBF87FEC-91AE-4648-B2AD-5EC008EAD077}" name="Category DE" dataDxfId="587"/>
    <tableColumn id="2" xr3:uid="{DE7BD328-0233-4751-8083-64AA53643507}" name="Subcategory DE" dataDxfId="586"/>
    <tableColumn id="3" xr3:uid="{D88BBE16-C958-409D-9639-E7485B43CC26}" name="Einheit" dataDxfId="585"/>
    <tableColumn id="6" xr3:uid="{0821E22A-D3BF-462C-8D80-657E5E88B9C6}" name="Visible" dataDxfId="584"/>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D9E27F4-E12A-40DF-8AE3-5AE751EDCE9E}" name="DocBOM" displayName="DocBOM" comment="Documentation" ref="B112:I130" totalsRowShown="0" headerRowDxfId="583" dataDxfId="582">
  <autoFilter ref="B112:I130" xr:uid="{8DAE2F09-538E-4AC6-8906-42F197C37C49}"/>
  <tableColumns count="8">
    <tableColumn id="1" xr3:uid="{CAAE2C3F-D4EF-4974-BD0A-D45065BCA187}" name="Column" dataDxfId="581"/>
    <tableColumn id="2" xr3:uid="{94F4A689-DCA3-4C21-A6F6-80E7F225C9BC}" name="Header EN" dataDxfId="580">
      <calculatedColumnFormula>DocBOM[[#This Row],[Category EN]]</calculatedColumnFormula>
    </tableColumn>
    <tableColumn id="3" xr3:uid="{D111D9BF-8F94-4AA9-A883-8D835B69232E}" name="Body EN" dataDxfId="579"/>
    <tableColumn id="4" xr3:uid="{0167C84A-2227-4FF0-827F-840C377467DF}" name="Header DE" dataDxfId="578"/>
    <tableColumn id="5" xr3:uid="{F227EAA2-28D6-45FA-8A06-6FE65CC408E7}" name="Body DE" dataDxfId="577"/>
    <tableColumn id="6" xr3:uid="{0CCF70B4-8F8C-480E-B6C4-157C49DE5DA7}" name="Category EN" dataDxfId="576"/>
    <tableColumn id="7" xr3:uid="{CD157440-69F9-40C8-8FC8-C523E5C0FD21}" name="Category DE" dataDxfId="575"/>
    <tableColumn id="8" xr3:uid="{D8160B74-F588-46F7-B261-AD0C776C6507}" name="Visible" dataDxfId="574"/>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5A2F55F-237F-4E60-BC92-EB6F2AE4306C}" name="DocPremises" displayName="DocPremises" comment="Documentation" ref="B134:L184" totalsRowShown="0" headerRowDxfId="573" dataDxfId="572">
  <autoFilter ref="B134:L184" xr:uid="{1EBC16C1-5AC3-45CF-A7D6-1458B230AC9F}"/>
  <tableColumns count="11">
    <tableColumn id="1" xr3:uid="{C88BAFBE-3BF1-4C4F-8094-AD5B109FCD59}" name="Row" dataDxfId="571"/>
    <tableColumn id="2" xr3:uid="{04B368F7-F639-4D12-8E25-266DAE22202A}" name="Header EN" dataDxfId="570">
      <calculatedColumnFormula>DocPremises[[#This Row],[Category EN]]&amp;IF(LEN(DocPremises[[#This Row],[Subcategory EN]])&gt;0," 
" &amp;DocPremises[[#This Row],[Subcategory EN]],)</calculatedColumnFormula>
    </tableColumn>
    <tableColumn id="3" xr3:uid="{7E804F8C-D8A8-4B5E-9F16-A7FC944D7216}" name="Body EN" dataDxfId="569"/>
    <tableColumn id="4" xr3:uid="{EBBE7212-FB79-4496-90CF-03112F165079}" name="Header DE" dataDxfId="568">
      <calculatedColumnFormula>DocPremises[[#This Row],[Category DE]]&amp;IF(LEN(DocPremises[[#This Row],[Subcategory DE]])&gt;0," 
" &amp;DocPremises[[#This Row],[Subcategory DE]],)</calculatedColumnFormula>
    </tableColumn>
    <tableColumn id="5" xr3:uid="{E85D6925-5454-466B-B953-B8CF4FDF00CA}" name="Body DE" dataDxfId="567"/>
    <tableColumn id="6" xr3:uid="{B06607F6-9C05-4CEC-A42D-638B16611C3C}" name="Category EN" dataDxfId="566"/>
    <tableColumn id="7" xr3:uid="{356B437D-A197-4FE0-99B9-62B9EA114DD7}" name="Subcategory EN" dataDxfId="565"/>
    <tableColumn id="8" xr3:uid="{FBE36D14-44F7-4956-8687-C3C861C71D56}" name="Category DE" dataDxfId="564"/>
    <tableColumn id="9" xr3:uid="{6E780150-73D2-4A75-8BCC-81D45B7C2921}" name="Subcategory DE" dataDxfId="563"/>
    <tableColumn id="10" xr3:uid="{59EAA60D-B90E-45BD-9E53-6C55AD8C723B}" name="Einheit" dataDxfId="562"/>
    <tableColumn id="11" xr3:uid="{E52C55D0-209D-4278-9785-2969A19DD513}" name="Visible" dataDxfId="561"/>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40A6EDC-3E80-4C53-A121-C427DA788B5F}" name="DocMHR" displayName="DocMHR" comment="Documentation" ref="B188:K237" totalsRowShown="0" headerRowDxfId="560" dataDxfId="559">
  <autoFilter ref="B188:K237" xr:uid="{5280BB3F-DE5B-494D-834C-DA4FAB669AD2}"/>
  <tableColumns count="10">
    <tableColumn id="1" xr3:uid="{89B3B74B-4CFC-4DA7-B678-8E70734ECF77}" name="Column" dataDxfId="558"/>
    <tableColumn id="2" xr3:uid="{AEA515E6-BDD5-400F-A93A-EB9A975DE37D}" name="Header EN" dataDxfId="557">
      <calculatedColumnFormula>DocMHR[[#This Row],[Category EN]]&amp;IF(LEN(DocMHR[[#This Row],[Subcategory EN]])&gt;0," 
" &amp;DocMHR[[#This Row],[Subcategory EN]],)</calculatedColumnFormula>
    </tableColumn>
    <tableColumn id="3" xr3:uid="{161F59FC-D09F-4766-8E48-28296DAFE622}" name="Body EN" dataDxfId="556"/>
    <tableColumn id="4" xr3:uid="{1C806C23-A036-4BF7-9352-24A666989481}" name="Header DE" dataDxfId="555">
      <calculatedColumnFormula>DocMHR[[#This Row],[Category DE]]&amp;IF(LEN(DocMHR[[#This Row],[Subcategory DE]])&gt;0," 
" &amp;DocMHR[[#This Row],[Subcategory DE]],)</calculatedColumnFormula>
    </tableColumn>
    <tableColumn id="5" xr3:uid="{BFA633AC-0E83-46B0-8897-6755367E6477}" name="Body DE" dataDxfId="554"/>
    <tableColumn id="6" xr3:uid="{CC68C314-E2A7-4945-94E8-6FC91613A805}" name="Category EN" dataDxfId="553"/>
    <tableColumn id="9" xr3:uid="{EA1D0B96-AB43-4347-8A70-61E968FD7FE4}" name="Subcategory EN" dataDxfId="552"/>
    <tableColumn id="7" xr3:uid="{02B653AA-C6BD-4A17-B43F-B7FF12C24448}" name="Category DE" dataDxfId="551"/>
    <tableColumn id="10" xr3:uid="{11FDA88F-B679-49A2-80E4-C2AE6C4F51E2}" name="Subcategory DE" dataDxfId="550"/>
    <tableColumn id="8" xr3:uid="{551C7DD9-E604-4F47-B0A8-E9EAF5DE27AC}" name="Visible" dataDxfId="549"/>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ABA338D-0D34-489B-9F2A-03FB241168E1}" name="DocMAT" displayName="DocMAT" comment="Documentation" ref="B241:K269" totalsRowShown="0" headerRowDxfId="548" dataDxfId="547">
  <autoFilter ref="B241:K269" xr:uid="{715D3402-7CEB-48DC-8046-B890A0164219}"/>
  <tableColumns count="10">
    <tableColumn id="1" xr3:uid="{B2A1A740-AE79-4925-848B-BDC022D00352}" name="Column" dataDxfId="546"/>
    <tableColumn id="2" xr3:uid="{EC2639CE-08E2-43DD-B817-AF2E8BA22DC5}" name="Header EN" dataDxfId="545">
      <calculatedColumnFormula>DocMAT[[#This Row],[Category EN]]&amp;IF(LEN(DocMAT[[#This Row],[Subcategory EN]])&gt;0," 
" &amp;DocMAT[[#This Row],[Subcategory EN]],)</calculatedColumnFormula>
    </tableColumn>
    <tableColumn id="3" xr3:uid="{7D7E76E3-36BB-4A41-BF0C-CBFB0AEDC661}" name="Body EN" dataDxfId="544"/>
    <tableColumn id="4" xr3:uid="{9B6BC8B2-947E-4522-B12A-615CF820B27C}" name="Header DE" dataDxfId="543">
      <calculatedColumnFormula>DocMAT[[#This Row],[Category DE]]&amp;IF(LEN(DocMAT[[#This Row],[Subcategory DE]])&gt;0," 
" &amp;DocMAT[[#This Row],[Subcategory DE]],)</calculatedColumnFormula>
    </tableColumn>
    <tableColumn id="5" xr3:uid="{10375D96-65BE-49D5-BA5A-E8601992B10F}" name="Body DE" dataDxfId="542"/>
    <tableColumn id="10" xr3:uid="{DB6A17B8-5D9D-4834-A08E-1171FD9E63BE}" name="Category EN" dataDxfId="541"/>
    <tableColumn id="9" xr3:uid="{43F122CD-B75E-422F-9BCC-0AD41A636BB0}" name="Subcategory EN" dataDxfId="540"/>
    <tableColumn id="6" xr3:uid="{D226CBF6-8FF7-4B4E-A26A-D51B28BC17CE}" name="Category DE" dataDxfId="539"/>
    <tableColumn id="7" xr3:uid="{BC1AB300-50BC-420C-B4AF-C04AE1EF50E0}" name="Subcategory DE" dataDxfId="538"/>
    <tableColumn id="8" xr3:uid="{5F98D276-8BD7-4BB6-ACC6-21360FAFFB04}" name="Visible" dataDxfId="537"/>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97A954-EF55-426F-B796-D855790718B2}" name="DocLOC" displayName="DocLOC" comment="Documentation" ref="B273:I297" totalsRowShown="0" headerRowDxfId="536" dataDxfId="535">
  <autoFilter ref="B273:I297" xr:uid="{E71D9492-3447-4FFD-A309-902354D863D4}"/>
  <tableColumns count="8">
    <tableColumn id="1" xr3:uid="{25D053C7-68DA-461C-B6B0-0980BEA78FC9}" name="Column" dataDxfId="534"/>
    <tableColumn id="2" xr3:uid="{006E5CF2-2B59-4325-9E52-1D2A199696FC}" name="Header EN" dataDxfId="533">
      <calculatedColumnFormula>DocLOC[[#This Row],[Category EN]]</calculatedColumnFormula>
    </tableColumn>
    <tableColumn id="3" xr3:uid="{EF4258D7-EEB8-4E84-BC0F-1BA33F181E8E}" name="Body EN" dataDxfId="532"/>
    <tableColumn id="4" xr3:uid="{6F42CBA9-7072-4EDB-B3AD-ACEBEB8735A7}" name="Header DE" dataDxfId="531">
      <calculatedColumnFormula>DocLOC[[#This Row],[Category DE]]</calculatedColumnFormula>
    </tableColumn>
    <tableColumn id="5" xr3:uid="{2790DC94-45C4-47FE-81ED-7DD6C51CB08A}" name="Body DE" dataDxfId="530"/>
    <tableColumn id="6" xr3:uid="{5A6ABFF4-F5D3-4E7C-AE28-26FA568D076F}" name="Category EN" dataDxfId="529"/>
    <tableColumn id="7" xr3:uid="{00A8DF35-A1F9-4171-ADC1-BD0AB8A5BE62}" name="Category DE" dataDxfId="528"/>
    <tableColumn id="8" xr3:uid="{E5A66230-739E-4E9B-992F-DEC4D9638901}" name="Visible" dataDxfId="527"/>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E715DCA-2584-4D25-AD6E-A7E772DF2B3C}" name="DocIndirectCosts" displayName="DocIndirectCosts" comment="Documentation" ref="B322:K368" totalsRowShown="0" headerRowDxfId="526" dataDxfId="525">
  <autoFilter ref="B322:K368" xr:uid="{7B9BB5EE-DCC0-47FD-8737-654FFB36AB49}"/>
  <tableColumns count="10">
    <tableColumn id="1" xr3:uid="{082A3588-C754-4C78-A36A-64969A23997E}" name="Range" dataDxfId="524"/>
    <tableColumn id="2" xr3:uid="{94C0486F-A1FB-439D-918E-F340DCBF681C}" name="Header EN" dataDxfId="523">
      <calculatedColumnFormula>DocIndirectCosts[[#This Row],[Category EN]]&amp;IF(LEN(DocIndirectCosts[[#This Row],[Subcategory EN]])&gt;0," 
" &amp;DocIndirectCosts[[#This Row],[Subcategory EN]],)</calculatedColumnFormula>
    </tableColumn>
    <tableColumn id="3" xr3:uid="{204AB1A4-10C4-4CE7-8673-D57DAD8B6225}" name="Body EN" dataDxfId="522"/>
    <tableColumn id="4" xr3:uid="{CF2B32BF-3081-4DD2-8342-80635CB956C2}" name="Header DE" dataDxfId="521">
      <calculatedColumnFormula>DocIndirectCosts[[#This Row],[Category DE]]&amp;IF(LEN(DocIndirectCosts[[#This Row],[Subcategory DE]])&gt;0," 
" &amp;DocIndirectCosts[[#This Row],[Subcategory DE]],)</calculatedColumnFormula>
    </tableColumn>
    <tableColumn id="5" xr3:uid="{CD8CDC81-3671-4C2D-BCBB-C53C51607C50}" name="Body DE" dataDxfId="520"/>
    <tableColumn id="10" xr3:uid="{C99C3FE0-A906-4533-95B5-B4F5F9A12358}" name="Category EN" dataDxfId="519"/>
    <tableColumn id="9" xr3:uid="{3DB52D60-08DD-42DB-994F-83620CF37DE0}" name="Subcategory EN" dataDxfId="518"/>
    <tableColumn id="6" xr3:uid="{37E5FA30-173C-47DF-94F5-DA464B888F0E}" name="Category DE" dataDxfId="517"/>
    <tableColumn id="7" xr3:uid="{89E495C5-394A-494D-B3EB-867F615E74D6}" name="Subcategory DE" dataDxfId="516"/>
    <tableColumn id="8" xr3:uid="{255151E2-6500-4C11-B2FC-ECDBE3B6F74A}" name="Visible" dataDxfId="515"/>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34DAF40-BB82-4727-8CA3-8967F47525A9}" name="DocUserForm" displayName="DocUserForm" comment="Documentation" ref="B382:G391" totalsRowShown="0" headerRowDxfId="514" dataDxfId="513">
  <autoFilter ref="B382:G391" xr:uid="{FC44F2EB-DA3F-4CC0-B6DF-9C327C96C1AB}"/>
  <tableColumns count="6">
    <tableColumn id="1" xr3:uid="{C8BDFCBE-5B8A-4280-A712-F35E5D4F562D}" name="UserForm" dataDxfId="512"/>
    <tableColumn id="2" xr3:uid="{46956F7C-A945-46BC-A98C-B12973D5D3A5}" name="Header EN" dataDxfId="511">
      <calculatedColumnFormula>"Userform " &amp;DocUserForm[[#This Row],[UserForm]]</calculatedColumnFormula>
    </tableColumn>
    <tableColumn id="3" xr3:uid="{BCED371F-2C7F-4A44-94A6-FCDE45553E83}" name="Body EN" dataDxfId="510"/>
    <tableColumn id="4" xr3:uid="{317A4695-2661-498B-93E3-856D96B73B95}" name="Header DE" dataDxfId="509">
      <calculatedColumnFormula>DocUserForm[[#This Row],[Header EN]]</calculatedColumnFormula>
    </tableColumn>
    <tableColumn id="5" xr3:uid="{E529A5B5-041C-47B3-A627-56B0ABAF0C95}" name="Body DE" dataDxfId="508"/>
    <tableColumn id="8" xr3:uid="{F1D965B0-DCB4-4489-85F2-D2574F3BFC64}" name="Visible" dataDxfId="507"/>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5AB493E-E5E3-48A3-BB83-E3D84EA2C81F}" name="DocInfo" displayName="DocInfo" comment="Documentation" ref="B301:I318" totalsRowShown="0" headerRowDxfId="506" dataDxfId="505">
  <autoFilter ref="B301:I318" xr:uid="{0DC37879-DCFA-45AE-B1BD-414C98B78FD1}"/>
  <tableColumns count="8">
    <tableColumn id="1" xr3:uid="{EC459231-32A7-4F41-83F8-C5FD80FF589E}" name="Column" dataDxfId="504"/>
    <tableColumn id="2" xr3:uid="{88369D7A-DAD3-455E-8B7D-2E9A34CE0A8D}" name="Header EN" dataDxfId="503">
      <calculatedColumnFormula>IF(NOT(ISBLANK(DocInfo[[#This Row],[Body EN]])),DocInfo[[#This Row],[Category EN]],0)</calculatedColumnFormula>
    </tableColumn>
    <tableColumn id="3" xr3:uid="{1D6932F8-5960-4E32-8B07-38D292E438C8}" name="Body EN" dataDxfId="502"/>
    <tableColumn id="4" xr3:uid="{9FD4C0A1-FD27-4458-BBA6-8077FB7D4330}" name="Header DE" dataDxfId="501">
      <calculatedColumnFormula>IF(NOT(ISBLANK(DocInfo[[#This Row],[Body DE]])),DocInfo[[#This Row],[Category DE]],0)</calculatedColumnFormula>
    </tableColumn>
    <tableColumn id="5" xr3:uid="{7E3AE112-1928-49CE-9A12-82F7CFD19064}" name="Body DE" dataDxfId="500"/>
    <tableColumn id="6" xr3:uid="{29009CEF-E882-4C71-9A85-2498C3B3FB53}" name="Category EN" dataDxfId="499"/>
    <tableColumn id="7" xr3:uid="{A6F25C59-0E42-4D32-BBCF-6FCEE3ED229C}" name="Category DE" dataDxfId="498"/>
    <tableColumn id="8" xr3:uid="{1A6C0F79-9B45-421C-8E38-7B3A2C9E537C}" name="Visible" dataDxfId="497"/>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EBDD46B-BFBC-45E2-BE3A-E1ADC0C01EFA}" name="DocCluster" displayName="DocCluster" comment="Documentation" ref="B377:I378" totalsRowShown="0" headerRowDxfId="496" dataDxfId="495">
  <autoFilter ref="B377:I378" xr:uid="{EFF046B8-60C2-4C62-9D9B-D20CFE2DFDFD}"/>
  <tableColumns count="8">
    <tableColumn id="1" xr3:uid="{28EFCF9B-B90A-43BE-91D4-AF4F61E2DE15}" name="Range" dataDxfId="494"/>
    <tableColumn id="2" xr3:uid="{55F879AD-8BAC-411A-945E-F1ACBF8AA9C1}" name="Header EN" dataDxfId="493">
      <calculatedColumnFormula>DocCluster[[#This Row],[Category EN]]</calculatedColumnFormula>
    </tableColumn>
    <tableColumn id="3" xr3:uid="{F0D54A1E-A714-4CFF-8446-24156F00D187}" name="Body EN" dataDxfId="492"/>
    <tableColumn id="4" xr3:uid="{D5109172-ECAE-4135-AD4C-D01BEDF52FE5}" name="Header DE" dataDxfId="491">
      <calculatedColumnFormula>DocCluster[[#This Row],[Category DE]]</calculatedColumnFormula>
    </tableColumn>
    <tableColumn id="5" xr3:uid="{7643DCA5-45B4-49B1-84A1-E59D423603AC}" name="Body DE" dataDxfId="490"/>
    <tableColumn id="10" xr3:uid="{7507FCBA-A02E-48E7-8496-CA267852FEAE}" name="Category EN" dataDxfId="489"/>
    <tableColumn id="6" xr3:uid="{15F3DC67-2BB9-454E-9171-4C5F8776137C}" name="Category DE" dataDxfId="488"/>
    <tableColumn id="8" xr3:uid="{787D5FFA-9E83-4FD9-B4CB-9A458643A64C}" name="Visible" dataDxfId="487"/>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87F51E3-57A7-4B2C-B104-FDE26155EE96}" name="DocAnalysis" displayName="DocAnalysis" comment="Documentation" ref="B372:I373" totalsRowShown="0" headerRowDxfId="486" dataDxfId="485">
  <autoFilter ref="B372:I373" xr:uid="{9FEB885F-5C0D-41E4-9991-E6334A44711D}"/>
  <tableColumns count="8">
    <tableColumn id="1" xr3:uid="{D8BDDCD9-2643-4046-9E40-9B0301CA47DB}" name="Range" dataDxfId="484"/>
    <tableColumn id="2" xr3:uid="{396FD85F-D178-4FAB-AB5B-FF1D3B7D143D}" name="Header EN" dataDxfId="483">
      <calculatedColumnFormula>DocAnalysis[[#This Row],[Category EN]]</calculatedColumnFormula>
    </tableColumn>
    <tableColumn id="3" xr3:uid="{68E16959-AEA3-4963-9175-0D5604BB1313}" name="Body EN" dataDxfId="482"/>
    <tableColumn id="4" xr3:uid="{F2DF2F6B-AA14-46D1-928D-671BC682B55C}" name="Header DE" dataDxfId="481">
      <calculatedColumnFormula>DocAnalysis[[#This Row],[Category DE]]</calculatedColumnFormula>
    </tableColumn>
    <tableColumn id="5" xr3:uid="{E8C330EA-D7B5-4949-B255-052BC84AF240}" name="Body DE" dataDxfId="480"/>
    <tableColumn id="10" xr3:uid="{A905F8B7-8E2D-470A-9E6E-174EBE072353}" name="Category EN" dataDxfId="479"/>
    <tableColumn id="6" xr3:uid="{D6ED53DD-0131-4BAF-9AD3-9DF85E87390F}" name="Category DE" dataDxfId="478"/>
    <tableColumn id="8" xr3:uid="{75B5F515-C0AD-4C87-8C3B-F4B29160E0B4}" name="Visible" dataDxfId="477"/>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9FB94786-E748-4DD5-AE4D-86C0448E7444}" name="DocLogistics" displayName="DocLogistics" comment="Documentation" ref="B396:K452" totalsRowShown="0" headerRowDxfId="476" dataDxfId="475">
  <autoFilter ref="B396:K452" xr:uid="{9FB94786-E748-4DD5-AE4D-86C0448E7444}"/>
  <tableColumns count="10">
    <tableColumn id="1" xr3:uid="{C48A89CA-049F-4DDE-9A02-FF11C3CE04B8}" name="Range" dataDxfId="474"/>
    <tableColumn id="2" xr3:uid="{64225678-CE9F-4550-A464-599D4FEA55C7}" name="Header EN" dataDxfId="473">
      <calculatedColumnFormula>DocLogistics[[#This Row],[Category EN]]&amp;IF(LEN(DocLogistics[[#This Row],[Subcategory EN]])&gt;0," 
" &amp;DocLogistics[[#This Row],[Subcategory EN]],)</calculatedColumnFormula>
    </tableColumn>
    <tableColumn id="3" xr3:uid="{E32A10E6-9CAE-4E96-86DF-F7C80C8B21BB}" name="Body EN" dataDxfId="472"/>
    <tableColumn id="4" xr3:uid="{AFC5D392-DDB2-46F2-A763-F4AC93D117F1}" name="Header DE" dataDxfId="471">
      <calculatedColumnFormula>DocLogistics[[#This Row],[Category DE]]&amp;IF(LEN(DocLogistics[[#This Row],[Subcategory DE]])&gt;0," 
" &amp;DocLogistics[[#This Row],[Subcategory DE]],)</calculatedColumnFormula>
    </tableColumn>
    <tableColumn id="5" xr3:uid="{EF1915C9-407B-4900-930A-685EA6B85D08}" name="Body DE" dataDxfId="470"/>
    <tableColumn id="10" xr3:uid="{62B682FE-F66B-4856-A7FC-766748CE4A58}" name="Category EN" dataDxfId="469"/>
    <tableColumn id="7" xr3:uid="{D3CC9326-9811-481F-AC9F-67EFC617D00D}" name="Subcategory EN" dataDxfId="468"/>
    <tableColumn id="6" xr3:uid="{10531476-FAEE-49A0-A848-4A69931C0B37}" name="Category DE" dataDxfId="467"/>
    <tableColumn id="9" xr3:uid="{29A59A84-F4C1-434B-A23B-52B5C1F4D9A7}" name="Subcategory DE" dataDxfId="466"/>
    <tableColumn id="8" xr3:uid="{1102213E-548C-4A38-B436-4CB4446884F6}" name="Visible" dataDxfId="465"/>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21ECB2E-E1B9-43FB-9994-D5414A975EC6}" name="DocCO2" displayName="DocCO2" comment="Documentation" ref="B457:I458" totalsRowShown="0" headerRowDxfId="464" dataDxfId="463">
  <autoFilter ref="B457:I458" xr:uid="{C21ECB2E-E1B9-43FB-9994-D5414A975EC6}"/>
  <tableColumns count="8">
    <tableColumn id="1" xr3:uid="{EBFA0C69-8164-40E0-B1F8-42E9D18434A4}" name="Range" dataDxfId="462"/>
    <tableColumn id="2" xr3:uid="{AA78CAD1-8364-41C7-906C-4971D96DCDE7}" name="Header EN" dataDxfId="461">
      <calculatedColumnFormula>DocCO2[[#This Row],[Category EN]]</calculatedColumnFormula>
    </tableColumn>
    <tableColumn id="3" xr3:uid="{9BDC2192-D1C0-497B-9438-15884E9BD984}" name="Body EN" dataDxfId="460"/>
    <tableColumn id="4" xr3:uid="{C2B47365-40C6-4AE5-A7F6-ECB6A2F37641}" name="Header DE" dataDxfId="459"/>
    <tableColumn id="5" xr3:uid="{90C62FF0-8AC9-4975-A405-9DF6F9CF7A7C}" name="Body DE" dataDxfId="458"/>
    <tableColumn id="10" xr3:uid="{A7944C90-2AE2-4045-968E-1C6B6DD412EF}" name="Category EN" dataDxfId="457"/>
    <tableColumn id="6" xr3:uid="{34CF402F-1714-42AD-B478-E417C430F381}" name="Category DE" dataDxfId="456"/>
    <tableColumn id="8" xr3:uid="{C17FA428-6ECB-478E-A27F-4BA8709032EB}" name="Visible" dataDxfId="455"/>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971CAC4-C68A-45B3-945A-2D462B17AD01}" name="DocClusterCO2" displayName="DocClusterCO2" comment="Documentation" ref="B462:I482" totalsRowShown="0" headerRowDxfId="454" dataDxfId="453">
  <autoFilter ref="B462:I482" xr:uid="{0971CAC4-C68A-45B3-945A-2D462B17AD01}"/>
  <tableColumns count="8">
    <tableColumn id="1" xr3:uid="{3921AC05-DC5F-4FCE-A920-49D61E48C775}" name="Range" dataDxfId="452"/>
    <tableColumn id="2" xr3:uid="{9A2D0DF4-5F92-4B09-852E-A3D97497379E}" name="Header EN" dataDxfId="451">
      <calculatedColumnFormula>DocClusterCO2[[#This Row],[Category EN]]</calculatedColumnFormula>
    </tableColumn>
    <tableColumn id="3" xr3:uid="{1C6CF19A-6F39-413C-8BF9-9DEFAF94D056}" name="Body EN" dataDxfId="450"/>
    <tableColumn id="4" xr3:uid="{E08379E7-331D-4F30-84A5-CE186AB46DC8}" name="Header DE" dataDxfId="449"/>
    <tableColumn id="5" xr3:uid="{1E774445-7845-49D3-835F-F183499B64C9}" name="Body DE" dataDxfId="448"/>
    <tableColumn id="10" xr3:uid="{B2E6F4DA-7526-4DB0-9795-3502F5D4F64B}" name="Category EN" dataDxfId="447"/>
    <tableColumn id="6" xr3:uid="{8E0FDECC-021E-41EF-BD67-B6297301BC64}" name="Category DE" dataDxfId="446"/>
    <tableColumn id="8" xr3:uid="{FA2A7FB0-383D-41FA-BB63-F3C5C1DEB750}" name="Visible" dataDxfId="445"/>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7D566A2A-E3D6-42AE-99F1-ADC96349B3D8}" name="DocEBOM" displayName="DocEBOM" comment="Documentation" ref="B486:I546" totalsRowShown="0" headerRowDxfId="444" dataDxfId="443">
  <autoFilter ref="B486:I546" xr:uid="{7D566A2A-E3D6-42AE-99F1-ADC96349B3D8}"/>
  <tableColumns count="8">
    <tableColumn id="1" xr3:uid="{2EAE3959-4C88-4931-BDF7-30AB2E483DFB}" name="Range" dataDxfId="442"/>
    <tableColumn id="2" xr3:uid="{85820A6F-0912-4C34-9369-B88FFA7F4F85}" name="Header EN" dataDxfId="441">
      <calculatedColumnFormula>DocEBOM[[#This Row],[Category EN]]</calculatedColumnFormula>
    </tableColumn>
    <tableColumn id="3" xr3:uid="{2DF5EC46-7139-4134-8FA9-122888A9A2A9}" name="Body EN" dataDxfId="440"/>
    <tableColumn id="4" xr3:uid="{D4D10AD7-151F-43E6-9DEF-46B19CA414E5}" name="Header DE" dataDxfId="439">
      <calculatedColumnFormula>DocEBOM[[#This Row],[Category DE]]</calculatedColumnFormula>
    </tableColumn>
    <tableColumn id="5" xr3:uid="{478C1968-4D31-4A6D-9393-204F57CC5AB2}" name="Body DE" dataDxfId="438"/>
    <tableColumn id="10" xr3:uid="{933301B0-5606-4E28-BA6D-C1FD0C5909DA}" name="Category EN" dataDxfId="437"/>
    <tableColumn id="6" xr3:uid="{84217C1D-E689-416E-AAEC-3C90D443B8CC}" name="Category DE" dataDxfId="436"/>
    <tableColumn id="8" xr3:uid="{98778443-C05D-4AC0-B4BF-0B729073B3E2}" name="Visible" dataDxfId="435"/>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19B3AEF-0A74-462E-B5FA-1F45EFAE307A}" name="Translation" displayName="Translation" comment="Translation" ref="B2:C417" totalsRowShown="0" headerRowDxfId="412" dataDxfId="411">
  <autoFilter ref="B2:C417" xr:uid="{C962E99A-A868-4880-8CFA-C547054651F0}"/>
  <tableColumns count="2">
    <tableColumn id="2" xr3:uid="{CE8F9744-8605-4647-80EA-AAC703B4541A}" name="EN" dataDxfId="410"/>
    <tableColumn id="1" xr3:uid="{BB6CA54E-CCA8-4A2C-BEE5-3EA0070F4032}" name="DE" dataDxfId="409"/>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768C571-6792-4EB6-B72F-3FCEAB233B80}" name="Dropdown" displayName="Dropdown" comment="Translation" ref="E2:E32" totalsRowShown="0" headerRowDxfId="408" dataDxfId="407">
  <autoFilter ref="E2:E32" xr:uid="{99368D0A-2881-4879-B43F-1ACB5943C4DB}"/>
  <tableColumns count="1">
    <tableColumn id="1" xr3:uid="{191865DD-5FDC-42CD-AF45-E56E3399E3D3}" name="Dropdown" dataDxfId="406">
      <calculatedColumnFormula>IF(Language="DE","T","D")</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D19B76D-20AC-4B93-9475-D3C294D36173}" name="Tutorial" displayName="Tutorial" ref="B3:K23" totalsRowShown="0" headerRowDxfId="402" dataDxfId="401">
  <autoFilter ref="B3:K23" xr:uid="{9424AD4A-BDC7-4583-9A14-CD2311385AC2}"/>
  <tableColumns count="10">
    <tableColumn id="1" xr3:uid="{D78ED09B-7B08-4EF8-BE87-ADAEFDE261B9}" name="Sheet" dataDxfId="400"/>
    <tableColumn id="2" xr3:uid="{489975EE-66C3-4303-B413-F737E5D8AE35}" name="Header EN" dataDxfId="399">
      <calculatedColumnFormula>Tutorial[[#This Row],[Category EN]]</calculatedColumnFormula>
    </tableColumn>
    <tableColumn id="3" xr3:uid="{5F39720C-1755-4408-8F59-360C86EF0CD1}" name="Body EN" dataDxfId="398"/>
    <tableColumn id="4" xr3:uid="{EF0ABA84-3588-4F5F-9718-4A70147EF9BB}" name="Header DE" dataDxfId="397">
      <calculatedColumnFormula>Tutorial[[#This Row],[Category DE]]</calculatedColumnFormula>
    </tableColumn>
    <tableColumn id="5" xr3:uid="{2EEC7DE0-722F-4BBB-A758-1DE8A5E67641}" name="Body DE" dataDxfId="396"/>
    <tableColumn id="6" xr3:uid="{1ACBC62D-2F91-4287-AE10-C246BBA92CC0}" name="Category EN" dataDxfId="395"/>
    <tableColumn id="7" xr3:uid="{95D108A7-C75C-4C4D-B04D-B259A2165B20}" name="Subcategory EN" dataDxfId="394"/>
    <tableColumn id="8" xr3:uid="{FF3859E5-1C86-43D2-836D-5A72913843CA}" name="Category DE" dataDxfId="393"/>
    <tableColumn id="9" xr3:uid="{62C7085A-DCB5-4E34-B570-9FC9C49B19B1}" name="Subcategory DE" dataDxfId="392"/>
    <tableColumn id="10" xr3:uid="{CB5128A8-EAFF-46C0-8AD3-CDA33101ACCF}" name="Link" dataDxfId="391"/>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58685DA-DF41-46A7-AE63-6A7475269B7E}" name="XML" displayName="XML" ref="B3:K189" totalsRowShown="0" headerRowDxfId="248" dataDxfId="247">
  <tableColumns count="10">
    <tableColumn id="1" xr3:uid="{4110D683-7BD8-44F0-955F-95E7E6F1B62D}" name="ID" dataDxfId="246"/>
    <tableColumn id="2" xr3:uid="{0D373F61-5DCA-4622-B007-0F4392306CA0}" name="OnAction" dataDxfId="245"/>
    <tableColumn id="3" xr3:uid="{8444CA16-328B-42D6-B78A-D8E64C170A71}" name="Label EN" dataDxfId="244"/>
    <tableColumn id="4" xr3:uid="{CE960BA7-D630-4E0C-8588-FBBE05C523AA}" name="Label DE" dataDxfId="243"/>
    <tableColumn id="5" xr3:uid="{9CAEC883-45BC-43C9-A442-1C6D74D0A490}" name="ScreenTip EN" dataDxfId="242"/>
    <tableColumn id="6" xr3:uid="{F4E01FD5-C073-4318-B868-23EE4DC9C741}" name="Supertip EN" dataDxfId="241"/>
    <tableColumn id="7" xr3:uid="{784B78E5-B8F9-425A-9B57-7CA5F2C8378D}" name="ScreenTip DE" dataDxfId="240"/>
    <tableColumn id="8" xr3:uid="{131B6A89-3850-4FBF-BC56-6EEA1667A505}" name="Supertip DE" dataDxfId="239"/>
    <tableColumn id="9" xr3:uid="{DCFA17B3-7E72-48AA-96D4-C33E896CC157}" name="Visible" dataDxfId="238"/>
    <tableColumn id="10" xr3:uid="{1BE978A8-51D1-4FA8-B465-C02094438388}" name="Enabled" dataDxfId="237"/>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F82772DD-A9F9-422B-A26D-ECD52A3A79CF}" name="Tab_ASY_Operations" displayName="Tab_ASY_Operations" ref="B62:C77" totalsRowShown="0" headerRowDxfId="236" dataDxfId="235">
  <autoFilter ref="B62:C77" xr:uid="{16C21E28-1B8D-41A3-98E3-B0C8CB60C70D}"/>
  <tableColumns count="2">
    <tableColumn id="2" xr3:uid="{3D468AEE-BF28-4D12-B772-5FC97F15AC62}" name="DE" dataDxfId="234"/>
    <tableColumn id="1" xr3:uid="{357169FB-D460-498C-A979-148423B5A8D6}" name="EN" dataDxfId="233"/>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528748F4-4BC6-427C-AD8F-CC9B07DCA0D7}" name="Tab_ASY_PickandPlace_2" displayName="Tab_ASY_PickandPlace_2" ref="B84:C94" totalsRowShown="0" headerRowDxfId="232" dataDxfId="231">
  <autoFilter ref="B84:C94" xr:uid="{F432FAED-C7FC-4B14-A540-8D0784DC2BDA}"/>
  <tableColumns count="2">
    <tableColumn id="5" xr3:uid="{7A49F3C2-2A28-447F-A239-06377FE3CC8D}" name="DE" dataDxfId="230"/>
    <tableColumn id="1" xr3:uid="{B674E002-1D39-4BEC-9BA9-B3ED34661459}" name="EN" dataDxfId="22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C2F9E515-12E8-48C0-B5B7-C5A6CE2E5635}" name="Tab_ASY_TableRegister" displayName="Tab_ASY_TableRegister" ref="B1:D55" totalsRowShown="0" headerRowDxfId="228" dataDxfId="227">
  <autoFilter ref="B1:D55" xr:uid="{3C43021D-BB83-41A2-9AA8-D0B0174720E7}"/>
  <tableColumns count="3">
    <tableColumn id="3" xr3:uid="{6339570E-10E8-4B1B-AD0E-5AEF03A9D2D8}" name="DE" dataDxfId="226"/>
    <tableColumn id="1" xr3:uid="{98AC9043-2FE1-4F38-8359-093E1A2A52A9}" name="EN" dataDxfId="225"/>
    <tableColumn id="2" xr3:uid="{53DBA0D6-390F-4990-8EA8-37BB33F226E6}" name="Name" dataDxfId="22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2B3490CD-B7A0-4E3C-8406-D8E772AD055A}" name="Tab_ASY_PickandPlace_1" displayName="Tab_ASY_PickandPlace_1" ref="B79:C82" totalsRowShown="0" headerRowDxfId="223" dataDxfId="222">
  <autoFilter ref="B79:C82" xr:uid="{C23EDBA5-269E-42EE-B638-451948388341}"/>
  <tableColumns count="2">
    <tableColumn id="2" xr3:uid="{AE2408BD-E47D-47E4-8EC0-21B0D032ABAC}" name="DE" dataDxfId="221"/>
    <tableColumn id="1" xr3:uid="{3F674BF7-E1CB-4A11-A679-60E7A2F2079F}" name="EN" dataDxfId="220"/>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D5CFF0B2-D700-421C-AEA6-5BF38C17DAFA}" name="Tab_ASY_PickandPlace_3" displayName="Tab_ASY_PickandPlace_3" ref="B96:C106" totalsRowShown="0" headerRowDxfId="219" dataDxfId="218">
  <autoFilter ref="B96:C106" xr:uid="{1B28FF62-C293-4C88-B645-0F5502848BC7}"/>
  <tableColumns count="2">
    <tableColumn id="5" xr3:uid="{A2384932-3381-4583-B6BD-206DE25E8067}" name="DE" dataDxfId="217"/>
    <tableColumn id="1" xr3:uid="{C466C07A-F831-4DFF-BD9C-2FAC40BC409E}" name="EN" dataDxfId="216"/>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1E7D5D24-94CF-41E0-BA89-D55451F275BD}" name="Tab_ASY_PickandPlace_4" displayName="Tab_ASY_PickandPlace_4" ref="B108:C118" totalsRowShown="0" headerRowDxfId="215" dataDxfId="214">
  <autoFilter ref="B108:C118" xr:uid="{D6AF5107-C183-49D2-9C4A-1BD94DE418DE}"/>
  <tableColumns count="2">
    <tableColumn id="5" xr3:uid="{E382295E-799F-4D6A-946D-B1612389BE0E}" name="DE" dataDxfId="213"/>
    <tableColumn id="1" xr3:uid="{4FDA9961-6F65-4BD3-9824-D0DBDEE9717B}" name="EN" dataDxfId="212"/>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70DFF619-FF6D-4A3F-B79E-CA523244D45F}" name="Tab_ASY_Screwing_1" displayName="Tab_ASY_Screwing_1" ref="B121:C124" totalsRowShown="0" headerRowDxfId="211">
  <autoFilter ref="B121:C124" xr:uid="{64A16052-F780-4908-B021-1438C4755A09}"/>
  <tableColumns count="2">
    <tableColumn id="1" xr3:uid="{3B66C4B0-EC7E-4D9D-9DB6-6D8F08669D15}" name="DE" dataDxfId="210"/>
    <tableColumn id="2" xr3:uid="{CC918294-123C-49D3-900E-F122BCDFEBA7}" name="EN" dataDxfId="209"/>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7" xr:uid="{8BEF9A41-88A0-4D97-8D4B-DF9306662C73}" name="Tab_ASY_Screwing_2" displayName="Tab_ASY_Screwing_2" ref="B126:C130" totalsRowShown="0" headerRowDxfId="208" dataDxfId="207">
  <autoFilter ref="B126:C130" xr:uid="{65E61A2B-EDF4-4478-BAE8-1318C7B201FB}"/>
  <tableColumns count="2">
    <tableColumn id="1" xr3:uid="{B75CED0F-0804-44EC-9CD7-4B402D5E65EB}" name="DE" dataDxfId="206"/>
    <tableColumn id="2" xr3:uid="{D7BE5BAA-04AC-4CE1-90AA-136A9AEE9FA9}" name="EN" dataDxfId="205"/>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8" xr:uid="{A75E7B1D-E5AA-44C4-A8BD-9B1897A22BD0}" name="Tab_ASY_Screwing_3" displayName="Tab_ASY_Screwing_3" ref="B132:C137" totalsRowShown="0" headerRowDxfId="204" dataDxfId="203">
  <autoFilter ref="B132:C137" xr:uid="{E947BFA7-E909-4175-B2FE-926A9CA7E7DD}"/>
  <tableColumns count="2">
    <tableColumn id="1" xr3:uid="{A811D114-FAA0-4ED4-A572-7884994DE7DA}" name="DE" dataDxfId="202"/>
    <tableColumn id="2" xr3:uid="{5E1E3494-A59A-4C55-9D0F-16D8E093DA97}" name="EN" dataDxfId="20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9" xr:uid="{833BB397-E63B-4467-AB17-26706F8CA298}" name="Tab_ASY_Screwing_4" displayName="Tab_ASY_Screwing_4" ref="B139:C142" totalsRowShown="0" headerRowDxfId="200" dataDxfId="199">
  <autoFilter ref="B139:C142" xr:uid="{1EB50650-C951-440B-839D-63FCA3C5E77B}"/>
  <tableColumns count="2">
    <tableColumn id="1" xr3:uid="{4B44F4C6-67D1-483C-B3CD-E29C4D2C762D}" name="DE" dataDxfId="198"/>
    <tableColumn id="2" xr3:uid="{0A168777-29A8-474A-8A09-9F4DBB99096B}" name="EN" dataDxfId="197"/>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0" xr:uid="{F1FD9657-0325-4F34-8AA4-401A18E586F5}" name="Tab_ASY_Place_1" displayName="Tab_ASY_Place_1" ref="B144:C147" totalsRowShown="0">
  <autoFilter ref="B144:C147" xr:uid="{B792904D-38CC-4AEA-AC01-50AB6784828D}"/>
  <tableColumns count="2">
    <tableColumn id="1" xr3:uid="{4F020C7D-B184-446B-944A-F1F7597D2FA3}" name="DE" dataDxfId="196"/>
    <tableColumn id="2" xr3:uid="{06E76113-23C1-41B4-A206-1A2EC0DBA9FC}" name="EN" dataDxfId="195"/>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1" xr:uid="{8D1891B9-F667-49FD-A993-20701CFAF81D}" name="Tab_ASY_Place_2" displayName="Tab_ASY_Place_2" ref="B149:C152" totalsRowShown="0" headerRowDxfId="194" dataDxfId="193">
  <autoFilter ref="B149:C152" xr:uid="{AF1FBD40-F715-411C-8A6E-6AA5B3087F42}"/>
  <tableColumns count="2">
    <tableColumn id="1" xr3:uid="{149D2107-3DF9-4A14-9808-17E1A53B154A}" name="DE" dataDxfId="192"/>
    <tableColumn id="2" xr3:uid="{C1000D8D-8F0D-4FF4-866F-FE15D9C55827}" name="EN" dataDxfId="191"/>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2" xr:uid="{001780D0-FBEE-4C74-A9FA-71E9E5E3EF6E}" name="Tab_ASY_Place_3" displayName="Tab_ASY_Place_3" ref="B154:C157" totalsRowShown="0" headerRowDxfId="190" dataDxfId="189">
  <autoFilter ref="B154:C157" xr:uid="{760CE2A4-6B8A-46EE-A934-ED29C7FB3352}"/>
  <tableColumns count="2">
    <tableColumn id="1" xr3:uid="{384C4A06-7863-46DC-BFB0-E5BD34F4194B}" name="DE" dataDxfId="188"/>
    <tableColumn id="2" xr3:uid="{60768573-483B-4B94-B74C-EA892498937E}" name="EN" dataDxfId="187"/>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FFEFC0FD-47AF-40B5-865A-E6FFE38C3120}" name="Tab_ASY_Place_4" displayName="Tab_ASY_Place_4" ref="B159:C162" totalsRowShown="0" headerRowDxfId="186" dataDxfId="185">
  <autoFilter ref="B159:C162" xr:uid="{79438502-BEE3-43F2-AEA6-2341A167954E}"/>
  <tableColumns count="2">
    <tableColumn id="1" xr3:uid="{00FBBBB0-D89C-42D1-A370-48A2AA6EC6FE}" name="DE" dataDxfId="184"/>
    <tableColumn id="2" xr3:uid="{0FD9E6C2-118F-4D55-B13E-D23E8F3882BF}" name="EN" dataDxfId="18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4" xr:uid="{F72911A0-6877-41CD-B58C-1B6E1C546E56}" name="Tab_ASY_HandlingTools_1" displayName="Tab_ASY_HandlingTools_1" ref="B164:C167" totalsRowShown="0">
  <autoFilter ref="B164:C167" xr:uid="{3259B1D2-DAB2-43CE-80CA-A46B041DB275}"/>
  <tableColumns count="2">
    <tableColumn id="1" xr3:uid="{424A94A3-0B6F-4322-952A-8AF1D022D54D}" name="DE"/>
    <tableColumn id="2" xr3:uid="{3627906C-EC6E-4516-B7F9-85DCB5E9E5F0}" name="EN" dataDxfId="182"/>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5" xr:uid="{D0935B35-4D75-4564-B3CD-FEA3675ABF33}" name="Tab_ASY_HandlingTools_2" displayName="Tab_ASY_HandlingTools_2" ref="B169:C172" totalsRowShown="0" headerRowDxfId="181" dataDxfId="180">
  <autoFilter ref="B169:C172" xr:uid="{ACD2012F-6149-4BE3-BEBB-C356FF3AF379}"/>
  <tableColumns count="2">
    <tableColumn id="1" xr3:uid="{5757F3C9-E213-44E3-8CAE-33F9A4C33718}" name="DE" dataDxfId="179"/>
    <tableColumn id="2" xr3:uid="{89773777-81A1-4D79-83BF-D8738015ED27}" name="EN" dataDxfId="178"/>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6" xr:uid="{160E6B37-0582-4158-9309-86045BBE26A8}" name="Tab_ASY_HandlingTools_3" displayName="Tab_ASY_HandlingTools_3" ref="B174:C177" totalsRowShown="0" headerRowDxfId="177" dataDxfId="176">
  <autoFilter ref="B174:C177" xr:uid="{59F5B126-1C58-4AEF-B662-020F2C4CCCCA}"/>
  <tableColumns count="2">
    <tableColumn id="1" xr3:uid="{D4A4936F-1BD2-4963-8628-8EB776EB1E12}" name="DE" dataDxfId="175"/>
    <tableColumn id="2" xr3:uid="{0B0E48A4-5A76-4FD4-A97A-CE50E064DA92}" name="EN" dataDxfId="174"/>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71A13E15-7E16-4604-975E-964E4B5531C6}" name="Tab_ASY_HandlingTools_4" displayName="Tab_ASY_HandlingTools_4" ref="B179:C182" totalsRowShown="0" headerRowDxfId="173" dataDxfId="172">
  <autoFilter ref="B179:C182" xr:uid="{9C5FC14B-5B92-4ED2-A8E5-9F5DB36EF1FB}"/>
  <tableColumns count="2">
    <tableColumn id="1" xr3:uid="{37D24E10-0E07-44D4-933B-C20D5A97DA3A}" name="DE" dataDxfId="171"/>
    <tableColumn id="2" xr3:uid="{D36EF0D6-F774-46CA-8A8D-4C3426AB9408}" name="EN" dataDxfId="170"/>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8" xr:uid="{80563EED-03B9-487F-A2F4-530A90146127}" name="Tab_ASY_Operate_1" displayName="Tab_ASY_Operate_1" ref="B184:C187" totalsRowShown="0">
  <autoFilter ref="B184:C187" xr:uid="{7E767373-ED73-4902-91EA-DDB113C4718F}"/>
  <tableColumns count="2">
    <tableColumn id="1" xr3:uid="{89C297B6-FB19-4220-A82D-2E48AE8A0A96}" name="DE" dataDxfId="169"/>
    <tableColumn id="2" xr3:uid="{C6EEC4A0-1A4D-426B-B0BC-B0373DAF32A7}" name="EN" dataDxfId="168"/>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9" xr:uid="{1F467D36-27FA-4520-A40C-3C4B95739430}" name="Tab_ASY_Operate_2" displayName="Tab_ASY_Operate_2" ref="B189:C191" totalsRowShown="0" headerRowDxfId="167" dataDxfId="166">
  <autoFilter ref="B189:C191" xr:uid="{61DD8606-2FEA-48B4-B038-D3F86A7D3F96}"/>
  <tableColumns count="2">
    <tableColumn id="1" xr3:uid="{82D50BEC-BE06-4312-8E35-F420D8FD2C1D}" name="DE" dataDxfId="165"/>
    <tableColumn id="2" xr3:uid="{9F8F48CC-C5BB-4518-BA35-EE9FCC4006D7}" name="EN" dataDxfId="164"/>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0" xr:uid="{16BF1C5D-19E3-4D07-B6CF-9EB881E013E1}" name="Tab_ASY_Operate_3" displayName="Tab_ASY_Operate_3" ref="B193:C195" totalsRowShown="0" headerRowDxfId="163" dataDxfId="162">
  <autoFilter ref="B193:C195" xr:uid="{D68E49E3-A768-4478-803D-D4F9B1081521}"/>
  <tableColumns count="2">
    <tableColumn id="1" xr3:uid="{849D2950-C8F0-47D7-9649-F53A719FD5A5}" name="DE" dataDxfId="161"/>
    <tableColumn id="2" xr3:uid="{A8B2EABE-C040-4D4A-9DC4-1304A454BE1B}" name="EN" dataDxfId="160"/>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1" xr:uid="{9D78C4BF-DCA0-42F0-B4A5-30DBCFAE4D2A}" name="Tab_ASY_Operate_4" displayName="Tab_ASY_Operate_4" ref="B197:C199" totalsRowShown="0" headerRowDxfId="159" dataDxfId="158">
  <autoFilter ref="B197:C199" xr:uid="{B4D68770-FBEC-4C8D-A510-26FDD7DC1308}"/>
  <tableColumns count="2">
    <tableColumn id="1" xr3:uid="{ED36122C-D084-4DAA-BDEA-C8C858EE219C}" name="DE" dataDxfId="157"/>
    <tableColumn id="2" xr3:uid="{84CD95F2-35F1-42D1-8940-333A42EDB419}" name="EN" dataDxfId="156"/>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2" xr:uid="{34ADB5CC-4D12-4F34-9E13-9EC5B94E9CA7}" name="Tab_ASY_MotionCycles_1" displayName="Tab_ASY_MotionCycles_1" ref="B201:C204" totalsRowShown="0">
  <autoFilter ref="B201:C204" xr:uid="{B559E269-88C2-4EA3-966D-FDD5DE339D5C}"/>
  <tableColumns count="2">
    <tableColumn id="1" xr3:uid="{CC50BADD-FC0E-47B5-A8BB-F911A31E3334}" name="DE" dataDxfId="155"/>
    <tableColumn id="2" xr3:uid="{7A2607D7-2D6C-442A-9E24-44157DD930CC}" name="EN" dataDxfId="154"/>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3" xr:uid="{F066451C-1B54-4EE3-A3E2-4C56268431DF}" name="Tab_ASY_MotionCycles_2" displayName="Tab_ASY_MotionCycles_2" ref="B206:C210" totalsRowShown="0" headerRowDxfId="153" dataDxfId="152">
  <autoFilter ref="B206:C210" xr:uid="{DDE6243B-3428-403F-81A1-72D35CB6C3F4}"/>
  <tableColumns count="2">
    <tableColumn id="1" xr3:uid="{5A947568-F7DC-433C-B03C-8D1CF62E3A21}" name="DE" dataDxfId="151"/>
    <tableColumn id="2" xr3:uid="{C06EBA61-0999-4EF2-BE64-EB9F08E73F2D}" name="EN" dataDxfId="150"/>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4" xr:uid="{E518EB50-0C3B-46A2-ADD9-2FB9589D27CB}" name="Tab_ASY_MotionCycles_3" displayName="Tab_ASY_MotionCycles_3" ref="B212:C216" totalsRowShown="0" headerRowDxfId="149" dataDxfId="148">
  <autoFilter ref="B212:C216" xr:uid="{15298C58-1C97-4B1A-BF26-7237BBC83C2D}"/>
  <tableColumns count="2">
    <tableColumn id="1" xr3:uid="{EEE4B8B5-BD70-4601-B05E-4FF85803A7F7}" name="DE" dataDxfId="147"/>
    <tableColumn id="2" xr3:uid="{FD0F633C-2F47-4EFC-89F5-CAE97F55126D}" name="EN" dataDxfId="146"/>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5" xr:uid="{98CD172C-CA08-4F6B-AA9C-C07771F0BC6A}" name="Tab_ASY_MotionCycles_4" displayName="Tab_ASY_MotionCycles_4" ref="B218:C222" totalsRowShown="0" headerRowDxfId="145" dataDxfId="144">
  <autoFilter ref="B218:C222" xr:uid="{AD697964-0E14-48B7-9CE2-24051BD4FC72}"/>
  <tableColumns count="2">
    <tableColumn id="1" xr3:uid="{6DE300DB-F7FE-496C-B24A-37B6DE8543A0}" name="DE" dataDxfId="143"/>
    <tableColumn id="2" xr3:uid="{A8E0098F-AD79-48C7-8F73-1BDF52814E85}" name="EN" dataDxfId="142"/>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6" xr:uid="{7FA56505-1A97-4663-8E6D-305E01A10C30}" name="Tab_ASY_BodyMotion" displayName="Tab_ASY_BodyMotion" ref="B224:C227" totalsRowShown="0" headerRowDxfId="141" dataDxfId="140">
  <autoFilter ref="B224:C227" xr:uid="{8612A3A0-190C-4413-BFFF-5FB58F2909F0}"/>
  <tableColumns count="2">
    <tableColumn id="1" xr3:uid="{900166E8-7497-4F85-B84E-AFBF713594EC}" name="DE" dataDxfId="139"/>
    <tableColumn id="2" xr3:uid="{E3EABD21-26FC-4F85-A82E-FE471FD9BA02}" name="EN" dataDxfId="138"/>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7" xr:uid="{34F4B937-B794-4F1C-8142-7CF7D7C6C8A0}" name="Tab_ASY_VisualCheck" displayName="Tab_ASY_VisualCheck" ref="B230:C240" totalsRowShown="0" headerRowDxfId="137" dataDxfId="136">
  <autoFilter ref="B230:C240" xr:uid="{52EB3A2B-D2D5-4930-8F87-04934E15DA09}"/>
  <tableColumns count="2">
    <tableColumn id="1" xr3:uid="{4CB4E293-4379-4F71-B8DD-7581F27F285C}" name="DE" dataDxfId="135"/>
    <tableColumn id="2" xr3:uid="{1FFD64E5-05B3-4812-A9FD-4FDECBCEFEE0}" name="EN" dataDxfId="134"/>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8" xr:uid="{0BF253C5-71B7-4C55-9F72-DB99EDA0CD78}" name="Tab_ASY_CheckingMeasuring_1" displayName="Tab_ASY_CheckingMeasuring_1" ref="B242:C246" totalsRowShown="0" dataDxfId="133">
  <autoFilter ref="B242:C246" xr:uid="{8AD04DC4-238D-4807-9CE1-B7684F03FDC0}"/>
  <tableColumns count="2">
    <tableColumn id="1" xr3:uid="{F37CCE7F-B7F4-4F62-9137-BF5ECC109240}" name="DE" dataDxfId="132"/>
    <tableColumn id="2" xr3:uid="{6885BEE3-D561-40D4-8BF1-43BADAA7F2CA}" name="EN" dataDxfId="131"/>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9" xr:uid="{B473A562-F4EE-48D3-BFEE-FA5B6319E9E2}" name="Tab_ASY_CheckingMeasuring_2" displayName="Tab_ASY_CheckingMeasuring_2" ref="B248:C253" totalsRowShown="0" headerRowDxfId="130" dataDxfId="129">
  <autoFilter ref="B248:C253" xr:uid="{57F961D9-DED0-4A53-9B0A-6CC3CA943022}"/>
  <tableColumns count="2">
    <tableColumn id="1" xr3:uid="{1DD9C909-856B-4367-AA85-F0D792483DF3}" name="DE" dataDxfId="128"/>
    <tableColumn id="2" xr3:uid="{0A2F6855-82C4-4800-B253-46844ED86BB9}" name="EN" dataDxfId="127"/>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0" xr:uid="{235AC985-81BF-4D70-91E8-996580DE1450}" name="Tab_ASY_CheckingMeasuring_3" displayName="Tab_ASY_CheckingMeasuring_3" ref="B255:C259" totalsRowShown="0" headerRowDxfId="126" dataDxfId="125">
  <autoFilter ref="B255:C259" xr:uid="{A34DBFC7-3FA0-4AD3-82E0-B9C50C46FC30}"/>
  <tableColumns count="2">
    <tableColumn id="1" xr3:uid="{5244899B-348E-45E3-A57E-6DD23C7C62B2}" name="DE" dataDxfId="124"/>
    <tableColumn id="2" xr3:uid="{2090E8F4-5ED6-4AA3-8E19-AE948AD7A6C6}" name="EN" dataDxfId="123"/>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1" xr:uid="{C9C14EE1-B1EA-41EC-A95F-28F74690990E}" name="Tab_ASY_CheckingMeasuring_4" displayName="Tab_ASY_CheckingMeasuring_4" ref="B261:C266" totalsRowShown="0" headerRowDxfId="122" dataDxfId="121">
  <autoFilter ref="B261:C266" xr:uid="{9BF6B932-BB62-4707-B282-510C02F77C81}"/>
  <tableColumns count="2">
    <tableColumn id="1" xr3:uid="{FAAE08B2-FBE0-4F21-A7D5-16EB97F3F097}" name="DE" dataDxfId="120"/>
    <tableColumn id="2" xr3:uid="{D7E09E78-FE5E-49C2-9CBA-458D7C47B023}" name="EN" dataDxfId="119"/>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2" xr:uid="{C20E747A-2E5C-4076-9802-F2D71C757FAF}" name="Tab_ASY_CheckingMeasuring_5" displayName="Tab_ASY_CheckingMeasuring_5" ref="B268:C270" totalsRowShown="0" headerRowDxfId="118" dataDxfId="117">
  <autoFilter ref="B268:C270" xr:uid="{17C23610-65D4-411E-8AED-FC41E809A9ED}"/>
  <tableColumns count="2">
    <tableColumn id="1" xr3:uid="{9C5C2401-89E4-4ACA-B941-A0E3798B8939}" name="DE"/>
    <tableColumn id="2" xr3:uid="{54D04262-952C-4DDE-BEA6-91943638D5CB}" name="EN" dataDxfId="116"/>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3" xr:uid="{6C006131-CC15-43F6-9402-5D3E8A96F9B8}" name="Tab_ASY_Marking" displayName="Tab_ASY_Marking" ref="B272:C279" totalsRowShown="0" headerRowDxfId="115" dataDxfId="114">
  <autoFilter ref="B272:C279" xr:uid="{D19DC5F1-CB83-498C-BF00-02C54C57F1AE}"/>
  <tableColumns count="2">
    <tableColumn id="1" xr3:uid="{3D51556B-9D4B-4DC3-A410-5270E82441F1}" name="DE" dataDxfId="113"/>
    <tableColumn id="2" xr3:uid="{8CB3E520-F15D-4E17-873F-1C0CC7E4323A}" name="EN" dataDxfId="112"/>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4" xr:uid="{644A11A3-C9C7-472F-9DCF-405D4ADF5625}" name="Tab_ASY_Treatment_1" displayName="Tab_ASY_Treatment_1" ref="B281:C285" totalsRowShown="0">
  <autoFilter ref="B281:C285" xr:uid="{D7DF9008-BB74-485A-B6E5-E79AC45A337A}"/>
  <tableColumns count="2">
    <tableColumn id="1" xr3:uid="{72599FF2-6F2B-482C-88CB-8E02A9BC450A}" name="DE" dataDxfId="111"/>
    <tableColumn id="2" xr3:uid="{6691F408-F4A1-458D-A519-1C634EBA39E6}" name="EN" dataDxfId="110"/>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5" xr:uid="{F6864FC2-61A0-41D7-8A44-714FD564FAD2}" name="Tab_ASY_Treatment_2" displayName="Tab_ASY_Treatment_2" ref="B287:C296" totalsRowShown="0" headerRowDxfId="109" dataDxfId="108">
  <autoFilter ref="B287:C296" xr:uid="{9A6E93D2-F074-4312-887B-B04AAE0CB22E}"/>
  <tableColumns count="2">
    <tableColumn id="1" xr3:uid="{713FA944-689C-47AE-907B-2D5697CD9D1E}" name="DE" dataDxfId="107"/>
    <tableColumn id="2" xr3:uid="{43422190-21F7-43FF-8BF5-18AA8CC171A9}" name="EN" dataDxfId="106"/>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6" xr:uid="{0BAF90E3-309A-47CF-9817-ED87B7435319}" name="Tab_ASY_Treatment_3" displayName="Tab_ASY_Treatment_3" ref="B298:C309" totalsRowShown="0" headerRowDxfId="105" dataDxfId="104">
  <autoFilter ref="B298:C309" xr:uid="{6D341075-A56C-4797-9983-45597B152F3F}"/>
  <tableColumns count="2">
    <tableColumn id="1" xr3:uid="{01AC7910-F1FF-46E0-A988-8B56DB121A98}" name="DE" dataDxfId="103"/>
    <tableColumn id="2" xr3:uid="{DE6FED1E-2F37-47D2-B286-683158B4F7D7}" name="EN" dataDxfId="102"/>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7" xr:uid="{A8A6CEF8-04A1-490C-81EF-5BD2935E321F}" name="Tab_ASY_Treatment_4" displayName="Tab_ASY_Treatment_4" ref="B311:C319" totalsRowShown="0" headerRowDxfId="101" dataDxfId="100">
  <autoFilter ref="B311:C319" xr:uid="{90ED0ED4-7EFA-42CB-A1D4-C9434410F0CA}"/>
  <tableColumns count="2">
    <tableColumn id="1" xr3:uid="{04A4123D-A6FB-48D1-A136-E900813FA590}" name="DE" dataDxfId="99"/>
    <tableColumn id="2" xr3:uid="{79F76F4F-C80F-4B7E-A9A5-1D4829687CFD}" name="EN" dataDxfId="98"/>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8" xr:uid="{87E1D253-C871-46A3-8BF8-5D1AB2E38084}" name="Tab_ASY_Treatment_5" displayName="Tab_ASY_Treatment_5" ref="B321:C323" totalsRowShown="0" headerRowDxfId="97" dataDxfId="96">
  <autoFilter ref="B321:C323" xr:uid="{B27BDFC2-C09A-4F87-9332-B588B8307678}"/>
  <tableColumns count="2">
    <tableColumn id="1" xr3:uid="{3E96E4B9-2FE7-4408-B538-E7B92EDE733B}" name="DE" dataDxfId="95"/>
    <tableColumn id="2" xr3:uid="{A9D318A1-739D-4C6D-BDE4-88DA38F57376}" name="EN" dataDxfId="94"/>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9" xr:uid="{CD51E65A-E29E-47CB-B3D3-863A990E9F78}" name="Tab_ASY_TighteningLoosening_1" displayName="Tab_ASY_TighteningLoosening_1" ref="B325:C327" totalsRowShown="0">
  <autoFilter ref="B325:C327" xr:uid="{6C0FE230-2E7D-48A2-A806-40205B4E7E2C}"/>
  <tableColumns count="2">
    <tableColumn id="1" xr3:uid="{B23EC54B-EE91-4352-9506-828D3EB308EF}" name="DE" dataDxfId="93"/>
    <tableColumn id="2" xr3:uid="{899CADBB-3A07-4655-9EAE-C1316008183B}" name="EN" dataDxfId="92"/>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0" xr:uid="{1BF8D007-352A-4A36-9E5A-0DFA3F5D3FF5}" name="Tab_ASY_TighteningLoosening_2" displayName="Tab_ASY_TighteningLoosening_2" ref="B329:C331" totalsRowShown="0" headerRowDxfId="91" dataDxfId="90">
  <autoFilter ref="B329:C331" xr:uid="{04AB062B-E15F-4F80-8552-A1A2C0B72C08}"/>
  <tableColumns count="2">
    <tableColumn id="1" xr3:uid="{825EB1D8-AFA6-414F-BFB4-5111F490B686}" name="DE" dataDxfId="89"/>
    <tableColumn id="2" xr3:uid="{BC3DD483-C225-4D46-92F4-F1B1FA566051}" name="EN" dataDxfId="88"/>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1" xr:uid="{4D72A360-D7CE-4B38-8930-8A098CEAE90C}" name="Tab_ASY_TighteningLoosening_3" displayName="Tab_ASY_TighteningLoosening_3" ref="B333:C340" totalsRowShown="0" headerRowDxfId="87" dataDxfId="86">
  <autoFilter ref="B333:C340" xr:uid="{32BA5031-2C27-45D9-A0F7-27BF6DA3079D}"/>
  <tableColumns count="2">
    <tableColumn id="1" xr3:uid="{A748A6CD-23BE-4211-9387-5B028CA8BBF9}" name="DE" dataDxfId="85"/>
    <tableColumn id="2" xr3:uid="{50324591-D5BD-429F-9F55-EF5105282E5E}" name="EN" dataDxfId="84"/>
  </tableColumns>
  <tableStyleInfo name="TableStyleMedium2"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744D61C2-005E-485B-A2A5-68E9FEF1760A}" name="Tab_ASY_Unpacking_1" displayName="Tab_ASY_Unpacking_1" ref="B342:C344" totalsRowShown="0">
  <autoFilter ref="B342:C344" xr:uid="{465A4979-9264-4019-AEE5-BA369D3F1437}"/>
  <tableColumns count="2">
    <tableColumn id="1" xr3:uid="{785F10E8-F6DB-42DE-BDF7-45F104876EEF}" name="DE" dataDxfId="83"/>
    <tableColumn id="2" xr3:uid="{F16A6FF7-8EC0-4B0D-BA0F-DDB9083384D7}" name="EN" dataDxfId="82"/>
  </tableColumns>
  <tableStyleInfo name="TableStyleMedium2"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3" xr:uid="{FEBAAA00-6743-4C79-A9EA-DA6147190F9F}" name="Tab_ASY_Unpacking_2" displayName="Tab_ASY_Unpacking_2" ref="B346:C352" totalsRowShown="0" headerRowDxfId="81" dataDxfId="79" headerRowBorderDxfId="80" tableBorderDxfId="78">
  <autoFilter ref="B346:C352" xr:uid="{8053CBD9-F293-4B5A-AF48-BA8A36B88508}"/>
  <tableColumns count="2">
    <tableColumn id="1" xr3:uid="{98830D9E-AB5F-48CC-A1E7-B5391386CF72}" name="DE" dataDxfId="77"/>
    <tableColumn id="2" xr3:uid="{8428D473-6C0A-4B5A-8681-A33ABFB72FEA}" name="EN" dataDxfId="76"/>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4" xr:uid="{B3131B33-828D-491F-8439-5CF169D94A57}" name="Tab_ASY_Unpacking_3" displayName="Tab_ASY_Unpacking_3" ref="B354:C364" totalsRowShown="0" headerRowDxfId="75" dataDxfId="74">
  <autoFilter ref="B354:C364" xr:uid="{A6EE8416-8740-47C0-ACDD-A01B1C93616E}"/>
  <tableColumns count="2">
    <tableColumn id="1" xr3:uid="{0EC379C6-DA3B-4008-81E9-D67411F4E531}" name="DE" dataDxfId="73"/>
    <tableColumn id="2" xr3:uid="{381D57CE-1C24-4E2C-A377-41237A018686}" name="EN" dataDxfId="72"/>
  </tableColumns>
  <tableStyleInfo name="TableStyleMedium2"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5" xr:uid="{765CA426-7000-4E60-90A7-CA6F01812917}" name="Tab_ASY_AdhesiveApplication_1" displayName="Tab_ASY_AdhesiveApplication_1" ref="B366:C369" totalsRowShown="0">
  <autoFilter ref="B366:C369" xr:uid="{63028243-7E90-403C-846C-AE429FF4A926}"/>
  <tableColumns count="2">
    <tableColumn id="1" xr3:uid="{47ECAC4D-7D15-4F77-9615-49608A83FDBE}" name="DE" dataDxfId="71"/>
    <tableColumn id="2" xr3:uid="{282BEDDB-54A0-4835-AA13-B360D0111756}" name="EN" dataDxfId="70"/>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6" xr:uid="{2E40E410-449D-4DE6-BC37-6595C7647C6D}" name="Tab_ASY_AdhesiveApplication_2" displayName="Tab_ASY_AdhesiveApplication_2" ref="B371:C380" totalsRowShown="0" headerRowDxfId="69" dataDxfId="68">
  <autoFilter ref="B371:C380" xr:uid="{216EA57C-D61B-4A77-82F7-A88819F3C1AD}"/>
  <tableColumns count="2">
    <tableColumn id="1" xr3:uid="{82CDAC3B-D7B2-4DB7-B20B-946CAC607C3C}" name="DE" dataDxfId="67"/>
    <tableColumn id="2" xr3:uid="{68FDD2CA-5786-40BF-B03D-C09D640B37BD}" name="EN" dataDxfId="66"/>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59DB8398-ABE4-4E21-8A96-1E60F6A60254}" name="Tab_ASY_AdhesiveApplication_3" displayName="Tab_ASY_AdhesiveApplication_3" ref="B382:C388" totalsRowShown="0" headerRowDxfId="65" dataDxfId="64">
  <autoFilter ref="B382:C388" xr:uid="{03806FB7-5B78-43AA-B5CC-8989A652D479}"/>
  <tableColumns count="2">
    <tableColumn id="1" xr3:uid="{8942C5B8-B265-4240-AB0C-31BAA2B759BE}" name="DE" dataDxfId="63"/>
    <tableColumn id="2" xr3:uid="{EBFEC221-1340-4C6D-8A81-A440F9460FBE}" name="EN" dataDxfId="62"/>
  </tableColumns>
  <tableStyleInfo name="TableStyleMedium2"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987C1A03-D61C-4C21-87D2-DD8864ADCE65}" name="Tab_ASY_AdhesiveApplication_4" displayName="Tab_ASY_AdhesiveApplication_4" ref="B390:C394" totalsRowShown="0" headerRowDxfId="61" dataDxfId="60">
  <autoFilter ref="B390:C394" xr:uid="{E2FE8060-F507-4A94-970E-29295B4A8B7E}"/>
  <tableColumns count="2">
    <tableColumn id="1" xr3:uid="{031F5EE1-5FE4-40EC-94A3-A5D122D1D8F0}" name="DE" dataDxfId="59"/>
    <tableColumn id="2" xr3:uid="{8D61CC7E-9435-4AB2-9567-A8CFEC8A64EB}" name="EN" dataDxfId="58"/>
  </tableColumns>
  <tableStyleInfo name="TableStyleMedium2"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74CEBA9B-79CD-4318-8FCD-397AAD34152B}" name="Tab_ASY_AssembleStandardParts" displayName="Tab_ASY_AssembleStandardParts" ref="B396:C404" totalsRowShown="0" headerRowDxfId="57" dataDxfId="56">
  <autoFilter ref="B396:C404" xr:uid="{8981E6CB-36B9-4858-B2A1-A45898AD9B74}"/>
  <tableColumns count="2">
    <tableColumn id="1" xr3:uid="{31717AD6-472F-466F-839F-FCA69B35F431}" name="DE" dataDxfId="55"/>
    <tableColumn id="2" xr3:uid="{11C3EBF3-3C91-43C4-BC3B-F31F8FC6CABE}" name="EN" dataDxfId="54"/>
  </tableColumns>
  <tableStyleInfo name="TableStyleMedium2"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99291253-0EA2-47B6-94D2-7B42BBEA0D64}" name="Montage" displayName="Montage" ref="B12:P18" totalsRowCount="1" headerRowDxfId="51" headerRowBorderDxfId="50">
  <autoFilter ref="B12:P17" xr:uid="{86D53F53-73CC-4AAD-9CAB-9936233EFA9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91D0674-5072-4943-B2EE-60ADD883726F}" name="OP" totalsRowLabel="Ergebnis" dataDxfId="49" totalsRowDxfId="48">
      <calculatedColumnFormula>ROW(B13)-12</calculatedColumnFormula>
    </tableColumn>
    <tableColumn id="2" xr3:uid="{21843B25-2F0E-4FA0-BAD5-EB52F953EC3F}" name="Sub-Komponente" dataDxfId="47" totalsRowDxfId="46"/>
    <tableColumn id="3" xr3:uid="{0B0DCA7F-A539-4209-B395-84B5D74FE0CB}" name="Anzahl_x000a_BOM" dataDxfId="45" totalsRowDxfId="44">
      <calculatedColumnFormula>IFERROR(VLOOKUP(Montage[[#This Row],[Sub-Komponente]],BOM,6,FALSE),"")</calculatedColumnFormula>
    </tableColumn>
    <tableColumn id="17" xr3:uid="{3A23EA24-2FAC-4545-A434-ADF08A3DE0E2}" name="Repetitions assembly step" dataDxfId="43" totalsRowDxfId="42">
      <calculatedColumnFormula>Montage[[#This Row],[Anzahl
BOM]]</calculatedColumnFormula>
    </tableColumn>
    <tableColumn id="4" xr3:uid="{DAC33BED-B328-4231-8537-37BE17422789}" name="Weight _x000a_[kg]" dataDxfId="41" totalsRowDxfId="40">
      <calculatedColumnFormula>IFERROR(VLOOKUP(Montage[[#This Row],[Sub-Komponente]],BOM,7,0),"")</calculatedColumnFormula>
    </tableColumn>
    <tableColumn id="5" xr3:uid="{C8C3FAE1-CA14-445C-8E56-7CD65DC830D3}" name="Basic operation" dataDxfId="39" totalsRowDxfId="38"/>
    <tableColumn id="7" xr3:uid="{DCF6D7E4-26E6-4064-B0D0-FB3E78628EBD}" name="Subcategory 1" dataDxfId="37" totalsRowDxfId="36"/>
    <tableColumn id="9" xr3:uid="{17D2F02B-8EDF-4914-B552-F7294D4026A3}" name="Subcategory 2" dataDxfId="35" totalsRowDxfId="34"/>
    <tableColumn id="10" xr3:uid="{05579F42-4941-4119-9BBE-B28CDA020BF5}" name="MTM_x000a_Code" dataDxfId="33" totalsRowDxfId="32"/>
    <tableColumn id="12" xr3:uid="{64D77343-C7C4-437D-ABC3-01334424DAFF}" name="Einzelzeit_x000a_[s]" dataDxfId="31" totalsRowDxfId="30"/>
    <tableColumn id="19" xr3:uid="{62BF74F8-7407-4FF1-8439-A289DB00C06B}" name="Korrigiert_x000a_[s]" dataDxfId="29" totalsRowDxfId="28"/>
    <tableColumn id="13" xr3:uid="{60E8D395-3E28-41F4-B929-A1671FF657E7}" name="Total time_x000a_[s]" totalsRowFunction="sum" dataDxfId="27" totalsRowDxfId="26">
      <calculatedColumnFormula>IFERROR(IFERROR(Montage[[#This Row],[Repetitions assembly step]]*IF(ISBLANK(Montage[[#This Row],[Korrigiert
'[s']]]),Montage[[#This Row],[Einzelzeit
'[s']]],Montage[[#This Row],[Korrigiert
'[s']]]),""),"")</calculatedColumnFormula>
    </tableColumn>
    <tableColumn id="6" xr3:uid="{584AA59D-876E-42E2-8C7A-4AF43EA2C0DE}" name="Parameter 1" dataDxfId="25" totalsRowDxfId="24">
      <calculatedColumnFormula array="1">IFERROR(IFERROR(_xlfn.XLOOKUP(Montage[[#This Row],[Basic operation]],IF(Language="DE",Tab_ASY_TableRegister[DE],Tab_ASY_TableRegister[EN]),"Tab_" &amp; Tab_ASY_TableRegister[Name] &amp; IF(Language="DE","[DE]","[EN]")),""),"")</calculatedColumnFormula>
    </tableColumn>
    <tableColumn id="8" xr3:uid="{AA5E0D0B-1832-4F72-B000-48D3BB20C2ED}" name="Parameter 2" dataDxfId="23" totalsRowDxfId="22">
      <calculatedColumnFormula array="1">IFERROR(IFERROR(IFERROR(_xlfn.XLOOKUP(Montage[[#This Row],[Subcategory 1]],IF(Language="DE",Tab_ASY_TableRegister[DE],Tab_ASY_TableRegister[EN]),"Tab_" &amp; Tab_ASY_TableRegister[Name] &amp; IF(Language="DE","[DE]","[EN]")),""),""),"")</calculatedColumnFormula>
    </tableColumn>
    <tableColumn id="14" xr3:uid="{67BDD45D-9F09-4C9D-B873-1BB5D8B9A2FD}" name="Parameter 3" dataDxfId="21" totalsRowDxfId="20">
      <calculatedColumnFormula>IFERROR(IF(Montage[[#This Row],[Parameter 2]]="",Montage[[#This Row],[Parameter 1]],Montage[[#This Row],[Parameter 2]]),"")</calculatedColumnFormula>
    </tableColumn>
  </tableColumns>
  <tableStyleInfo name="TableStyleLight11" showFirstColumn="0" showLastColumn="0" showRowStripes="0"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725B23-1459-4D81-BC0D-9F1189469A30}" name="Settings" displayName="Settings" ref="B2:F107" totalsRowShown="0" headerRowDxfId="12" dataDxfId="11">
  <tableColumns count="5">
    <tableColumn id="4" xr3:uid="{88047596-10AB-4E84-83CD-BAB9FA227236}" name="ID" dataDxfId="10"/>
    <tableColumn id="1" xr3:uid="{89A437CE-0A73-4A4D-889B-C3C2ECA3AD85}" name="Value" dataDxfId="9"/>
    <tableColumn id="3" xr3:uid="{237BF4A8-859C-42A2-B791-5770AC694B1C}" name=" " dataDxfId="8"/>
    <tableColumn id="2" xr3:uid="{E5102527-683B-43FE-825C-939AE347FB96}" name="  " dataDxfId="7"/>
    <tableColumn id="5" xr3:uid="{BE069FCF-CA0F-4D6F-87D4-53D1A6981843}" name="Access" dataDxfId="6"/>
  </tableColumns>
  <tableStyleInfo name="TableStyleLight1"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524B5DA-756A-49A1-BD4B-32738A06B1FD}" name="LIC" displayName="LIC" ref="H2:K3" totalsRowShown="0">
  <autoFilter ref="H2:K3" xr:uid="{0524B5DA-756A-49A1-BD4B-32738A06B1FD}"/>
  <tableColumns count="4">
    <tableColumn id="1" xr3:uid="{45395674-A841-4D24-9EB0-0D6D0137D7A6}" name="UserDomain" dataDxfId="5"/>
    <tableColumn id="2" xr3:uid="{44236F0D-4EB6-41E0-A7A7-CC6B75ADBA7A}" name="UserName" dataDxfId="4"/>
    <tableColumn id="3" xr3:uid="{433D23AF-7318-4880-9569-5B8B7F3F57D9}" name="EndDate" dataDxfId="3"/>
    <tableColumn id="4" xr3:uid="{2D56CA50-C689-4D5C-B076-428081458ED2}" name="UserRole" dataDxfId="2"/>
  </tableColumns>
  <tableStyleInfo name="TableStyleMedium7"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3939BAB8-E9EA-4CF1-9D3F-7B5BBEE7C6F0}" name="EULA" displayName="EULA" ref="H5:I6" totalsRowShown="0">
  <autoFilter ref="H5:I6" xr:uid="{3939BAB8-E9EA-4CF1-9D3F-7B5BBEE7C6F0}"/>
  <tableColumns count="2">
    <tableColumn id="1" xr3:uid="{3C51E414-13BA-4A4F-B2A9-CE7ABABAEFE0}" name="UserDomain" dataDxfId="1"/>
    <tableColumn id="2" xr3:uid="{BA16AF1E-E369-4F87-BD22-3CE1E57E5AE9}" name="UserName" dataDxfId="0"/>
  </tableColumns>
  <tableStyleInfo name="TableStyleMedium7" showFirstColumn="0" showLastColumn="0" showRowStripes="1" showColumnStripes="0"/>
</table>
</file>

<file path=xl/theme/theme1.xml><?xml version="1.0" encoding="utf-8"?>
<a:theme xmlns:a="http://schemas.openxmlformats.org/drawingml/2006/main" name="AWS Design">
  <a:themeElements>
    <a:clrScheme name="AWS neu">
      <a:dk1>
        <a:sysClr val="windowText" lastClr="000000"/>
      </a:dk1>
      <a:lt1>
        <a:sysClr val="window" lastClr="FFFFFF"/>
      </a:lt1>
      <a:dk2>
        <a:srgbClr val="000000"/>
      </a:dk2>
      <a:lt2>
        <a:srgbClr val="FFFFFF"/>
      </a:lt2>
      <a:accent1>
        <a:srgbClr val="94C356"/>
      </a:accent1>
      <a:accent2>
        <a:srgbClr val="99CFB8"/>
      </a:accent2>
      <a:accent3>
        <a:srgbClr val="0079B0"/>
      </a:accent3>
      <a:accent4>
        <a:srgbClr val="004698"/>
      </a:accent4>
      <a:accent5>
        <a:srgbClr val="002F63"/>
      </a:accent5>
      <a:accent6>
        <a:srgbClr val="3F4E55"/>
      </a:accent6>
      <a:hlink>
        <a:srgbClr val="E5006D"/>
      </a:hlink>
      <a:folHlink>
        <a:srgbClr val="C1348B"/>
      </a:folHlink>
    </a:clrScheme>
    <a:fontScheme name="ACT">
      <a:majorFont>
        <a:latin typeface="Arial Narrow"/>
        <a:ea typeface=""/>
        <a:cs typeface=""/>
      </a:majorFont>
      <a:minorFont>
        <a:latin typeface="Arial Narrow"/>
        <a:ea typeface=""/>
        <a:cs typeface=""/>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bodyPr vert="horz" wrap="none" lIns="0" tIns="0" rIns="0" bIns="0" rtlCol="0">
        <a:spAutoFit/>
      </a:bodyPr>
      <a:lstStyle>
        <a:defPPr marL="177800" indent="-177800" algn="l">
          <a:buClr>
            <a:schemeClr val="accent5"/>
          </a:buClr>
          <a:buFont typeface="Wingdings" panose="05000000000000000000" pitchFamily="2" charset="2"/>
          <a:buChar char="§"/>
          <a:defRPr sz="1600" smtClean="0"/>
        </a:defPPr>
      </a:lstStyle>
    </a:txDef>
  </a:objectDefaults>
  <a:extraClrSchemeLst/>
  <a:custClrLst>
    <a:custClr name="lila">
      <a:srgbClr val="623D90"/>
    </a:custClr>
    <a:custClr name="pink">
      <a:srgbClr val="C1348B"/>
    </a:custClr>
    <a:custClr name="magenta">
      <a:srgbClr val="E5006D"/>
    </a:custClr>
    <a:custClr name="lime">
      <a:srgbClr val="C7D64F"/>
    </a:custClr>
    <a:custClr name="gelb">
      <a:srgbClr val="E8E100"/>
    </a:custClr>
  </a:custClrLst>
  <a:extLst>
    <a:ext uri="{05A4C25C-085E-4340-85A3-A5531E510DB2}">
      <thm15:themeFamily xmlns:thm15="http://schemas.microsoft.com/office/thememl/2012/main" name="AWS Design" id="{334D7173-4B7D-4875-9AB9-CC3A14D41F4E}" vid="{8E27CDE0-6E90-424A-B170-85C4C051E3D2}"/>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A4B4791-40C0-4A93-BE90-E7DA540C5CE9}">
  <we:reference id="32a0e171-16d7-4fa9-a42d-44bb3629b664" version="1.0.0.1" store="EXCatalog" storeType="EXCatalog"/>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2.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 Id="rId5" Type="http://schemas.openxmlformats.org/officeDocument/2006/relationships/table" Target="../tables/table8.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hyperlink" Target="https://606feea4e82751db.en.made-in-china.com/product/myFTulXVrZro/China-Touch-Spring-PCB-Button-Spring-for-Catering-Equipment.html" TargetMode="External"/><Relationship Id="rId7" Type="http://schemas.openxmlformats.org/officeDocument/2006/relationships/table" Target="../tables/table12.xml"/><Relationship Id="rId2" Type="http://schemas.openxmlformats.org/officeDocument/2006/relationships/hyperlink" Target="https://www.digikey.de/de/products/detail/panduit-corp/S100X150VATY/4578482" TargetMode="External"/><Relationship Id="rId1" Type="http://schemas.openxmlformats.org/officeDocument/2006/relationships/hyperlink" Target="https://www.digikey.de/de/products/detail/panduit-corp/S100X150VATY/4578482" TargetMode="External"/><Relationship Id="rId6" Type="http://schemas.openxmlformats.org/officeDocument/2006/relationships/vmlDrawing" Target="../drawings/vmlDrawing3.vml"/><Relationship Id="rId5" Type="http://schemas.openxmlformats.org/officeDocument/2006/relationships/drawing" Target="../drawings/drawing3.xml"/><Relationship Id="rId10" Type="http://schemas.openxmlformats.org/officeDocument/2006/relationships/comments" Target="../comments3.xml"/><Relationship Id="rId4" Type="http://schemas.openxmlformats.org/officeDocument/2006/relationships/printerSettings" Target="../printerSettings/printerSettings8.bin"/><Relationship Id="rId9"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printerSettings" Target="../printerSettings/printerSettings9.bin"/><Relationship Id="rId7" Type="http://schemas.openxmlformats.org/officeDocument/2006/relationships/table" Target="../tables/table16.xml"/><Relationship Id="rId2" Type="http://schemas.openxmlformats.org/officeDocument/2006/relationships/hyperlink" Target="https://www.mouser.de/ProductDetail/Tianma/TM043NDH02-40?qs=bZr6mbWTK5lSc5x7R9O5Gw%3D%3D" TargetMode="External"/><Relationship Id="rId1" Type="http://schemas.openxmlformats.org/officeDocument/2006/relationships/hyperlink" Target="https://www.mouser.de/ProductDetail/NXP-Semiconductors/MIMXRT1052DVL6B?qs=r5DSvlrkXmLhWvqckzJtSg%3D%3D&amp;utm_id=10057311266&amp;gad_source=1&amp;gclid=Cj0KCQjw9vqyBhCKARIsAIIcLMGLO42NhGQmX8n9z2bAqJj5dpp6mmnqwz7qc9N70joo3sfjQ1iG2HYaAqVoEALw_wcB" TargetMode="External"/><Relationship Id="rId6" Type="http://schemas.openxmlformats.org/officeDocument/2006/relationships/table" Target="../tables/table15.xml"/><Relationship Id="rId5" Type="http://schemas.openxmlformats.org/officeDocument/2006/relationships/vmlDrawing" Target="../drawings/vmlDrawing4.vml"/><Relationship Id="rId4" Type="http://schemas.openxmlformats.org/officeDocument/2006/relationships/drawing" Target="../drawings/drawing4.xml"/><Relationship Id="rId9"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drawing" Target="../drawings/drawing6.xml"/><Relationship Id="rId7" Type="http://schemas.openxmlformats.org/officeDocument/2006/relationships/table" Target="../tables/table23.xml"/><Relationship Id="rId2" Type="http://schemas.openxmlformats.org/officeDocument/2006/relationships/printerSettings" Target="../printerSettings/printerSettings11.bin"/><Relationship Id="rId1" Type="http://schemas.openxmlformats.org/officeDocument/2006/relationships/hyperlink" Target="https://www.digikey.de/de/products/detail/gigadevice-semiconductor-hk-limited/GD25Q128ESEGR/20532184" TargetMode="External"/><Relationship Id="rId6" Type="http://schemas.openxmlformats.org/officeDocument/2006/relationships/table" Target="../tables/table22.xml"/><Relationship Id="rId5" Type="http://schemas.openxmlformats.org/officeDocument/2006/relationships/table" Target="../tables/table21.xml"/><Relationship Id="rId4"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vmlDrawing" Target="../drawings/vmlDrawing7.vml"/><Relationship Id="rId1" Type="http://schemas.openxmlformats.org/officeDocument/2006/relationships/printerSettings" Target="../printerSettings/printerSettings12.bin"/><Relationship Id="rId6" Type="http://schemas.openxmlformats.org/officeDocument/2006/relationships/comments" Target="../comments7.xml"/><Relationship Id="rId5" Type="http://schemas.openxmlformats.org/officeDocument/2006/relationships/table" Target="../tables/table27.xml"/><Relationship Id="rId4" Type="http://schemas.openxmlformats.org/officeDocument/2006/relationships/table" Target="../tables/table26.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table" Target="../tables/table28.xml"/><Relationship Id="rId1" Type="http://schemas.openxmlformats.org/officeDocument/2006/relationships/printerSettings" Target="../printerSettings/printerSettings15.bin"/><Relationship Id="rId5" Type="http://schemas.openxmlformats.org/officeDocument/2006/relationships/table" Target="../tables/table31.xml"/><Relationship Id="rId4" Type="http://schemas.openxmlformats.org/officeDocument/2006/relationships/table" Target="../tables/table30.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39.xml"/><Relationship Id="rId13" Type="http://schemas.openxmlformats.org/officeDocument/2006/relationships/table" Target="../tables/table44.xml"/><Relationship Id="rId3" Type="http://schemas.openxmlformats.org/officeDocument/2006/relationships/table" Target="../tables/table34.xml"/><Relationship Id="rId7" Type="http://schemas.openxmlformats.org/officeDocument/2006/relationships/table" Target="../tables/table38.xml"/><Relationship Id="rId12" Type="http://schemas.openxmlformats.org/officeDocument/2006/relationships/table" Target="../tables/table43.xml"/><Relationship Id="rId2" Type="http://schemas.openxmlformats.org/officeDocument/2006/relationships/table" Target="../tables/table33.xml"/><Relationship Id="rId1" Type="http://schemas.openxmlformats.org/officeDocument/2006/relationships/table" Target="../tables/table32.xml"/><Relationship Id="rId6" Type="http://schemas.openxmlformats.org/officeDocument/2006/relationships/table" Target="../tables/table37.xml"/><Relationship Id="rId11" Type="http://schemas.openxmlformats.org/officeDocument/2006/relationships/table" Target="../tables/table42.xml"/><Relationship Id="rId5" Type="http://schemas.openxmlformats.org/officeDocument/2006/relationships/table" Target="../tables/table36.xml"/><Relationship Id="rId15" Type="http://schemas.openxmlformats.org/officeDocument/2006/relationships/table" Target="../tables/table46.xml"/><Relationship Id="rId10" Type="http://schemas.openxmlformats.org/officeDocument/2006/relationships/table" Target="../tables/table41.xml"/><Relationship Id="rId4" Type="http://schemas.openxmlformats.org/officeDocument/2006/relationships/table" Target="../tables/table35.xml"/><Relationship Id="rId9" Type="http://schemas.openxmlformats.org/officeDocument/2006/relationships/table" Target="../tables/table40.xml"/><Relationship Id="rId14" Type="http://schemas.openxmlformats.org/officeDocument/2006/relationships/table" Target="../tables/table45.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vmlDrawing" Target="../drawings/vmlDrawing9.vml"/><Relationship Id="rId4" Type="http://schemas.openxmlformats.org/officeDocument/2006/relationships/comments" Target="../comments9.xml"/></Relationships>
</file>

<file path=xl/worksheets/_rels/sheet22.xml.rels><?xml version="1.0" encoding="UTF-8" standalone="yes"?>
<Relationships xmlns="http://schemas.openxmlformats.org/package/2006/relationships"><Relationship Id="rId3" Type="http://schemas.openxmlformats.org/officeDocument/2006/relationships/hyperlink" Target="file:///\\wts\06%20Schulungen\04%20Schulungen%20AWS%20Pr&#228;missen\Zuschlagss&#228;tze" TargetMode="External"/><Relationship Id="rId2" Type="http://schemas.openxmlformats.org/officeDocument/2006/relationships/hyperlink" Target="file:///\\wts\..\..\..\..\..\..\..\..\..\..\..\..\..\..\..\..\..\..\..\..\..\..\..\..\..\..\..\..\..\..\..\..\..\..\..\..\..\..\..\..\..\..\..\..\..\..\..\..\..\..\..\..\..\..\..\..\..\..\..\..\..\..\..\..\..\..\..\..\..\..\..\..\Roaming\Microsoft\ACT%206" TargetMode="External"/><Relationship Id="rId1" Type="http://schemas.openxmlformats.org/officeDocument/2006/relationships/hyperlink" Target="file:///\\wts\..\..\..\..\..\..\..\..\..\..\..\..\..\..\..\..\..\..\..\..\..\..\..\..\..\..\..\..\..\..\..\..\..\..\..\..\..\..\..\..\..\..\..\..\..\..\..\..\..\..\..\..\..\..\..\..\..\..\..\..\..\..\..\..\..\..\..\..\..\..\..\..\10%20Sonstige%20Anwendungen\AWS%20Toolbox" TargetMode="External"/><Relationship Id="rId4" Type="http://schemas.openxmlformats.org/officeDocument/2006/relationships/table" Target="../tables/table4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24.xml.rels><?xml version="1.0" encoding="UTF-8" standalone="yes"?>
<Relationships xmlns="http://schemas.openxmlformats.org/package/2006/relationships"><Relationship Id="rId13" Type="http://schemas.openxmlformats.org/officeDocument/2006/relationships/table" Target="../tables/table63.xml"/><Relationship Id="rId18" Type="http://schemas.openxmlformats.org/officeDocument/2006/relationships/table" Target="../tables/table68.xml"/><Relationship Id="rId26" Type="http://schemas.openxmlformats.org/officeDocument/2006/relationships/table" Target="../tables/table76.xml"/><Relationship Id="rId39" Type="http://schemas.openxmlformats.org/officeDocument/2006/relationships/table" Target="../tables/table89.xml"/><Relationship Id="rId21" Type="http://schemas.openxmlformats.org/officeDocument/2006/relationships/table" Target="../tables/table71.xml"/><Relationship Id="rId34" Type="http://schemas.openxmlformats.org/officeDocument/2006/relationships/table" Target="../tables/table84.xml"/><Relationship Id="rId42" Type="http://schemas.openxmlformats.org/officeDocument/2006/relationships/table" Target="../tables/table92.xml"/><Relationship Id="rId47" Type="http://schemas.openxmlformats.org/officeDocument/2006/relationships/table" Target="../tables/table97.xml"/><Relationship Id="rId50" Type="http://schemas.openxmlformats.org/officeDocument/2006/relationships/table" Target="../tables/table100.xml"/><Relationship Id="rId7" Type="http://schemas.openxmlformats.org/officeDocument/2006/relationships/table" Target="../tables/table57.xml"/><Relationship Id="rId2" Type="http://schemas.openxmlformats.org/officeDocument/2006/relationships/table" Target="../tables/table52.xml"/><Relationship Id="rId16" Type="http://schemas.openxmlformats.org/officeDocument/2006/relationships/table" Target="../tables/table66.xml"/><Relationship Id="rId29" Type="http://schemas.openxmlformats.org/officeDocument/2006/relationships/table" Target="../tables/table79.xml"/><Relationship Id="rId11" Type="http://schemas.openxmlformats.org/officeDocument/2006/relationships/table" Target="../tables/table61.xml"/><Relationship Id="rId24" Type="http://schemas.openxmlformats.org/officeDocument/2006/relationships/table" Target="../tables/table74.xml"/><Relationship Id="rId32" Type="http://schemas.openxmlformats.org/officeDocument/2006/relationships/table" Target="../tables/table82.xml"/><Relationship Id="rId37" Type="http://schemas.openxmlformats.org/officeDocument/2006/relationships/table" Target="../tables/table87.xml"/><Relationship Id="rId40" Type="http://schemas.openxmlformats.org/officeDocument/2006/relationships/table" Target="../tables/table90.xml"/><Relationship Id="rId45" Type="http://schemas.openxmlformats.org/officeDocument/2006/relationships/table" Target="../tables/table95.xml"/><Relationship Id="rId5" Type="http://schemas.openxmlformats.org/officeDocument/2006/relationships/table" Target="../tables/table55.xml"/><Relationship Id="rId15" Type="http://schemas.openxmlformats.org/officeDocument/2006/relationships/table" Target="../tables/table65.xml"/><Relationship Id="rId23" Type="http://schemas.openxmlformats.org/officeDocument/2006/relationships/table" Target="../tables/table73.xml"/><Relationship Id="rId28" Type="http://schemas.openxmlformats.org/officeDocument/2006/relationships/table" Target="../tables/table78.xml"/><Relationship Id="rId36" Type="http://schemas.openxmlformats.org/officeDocument/2006/relationships/table" Target="../tables/table86.xml"/><Relationship Id="rId49" Type="http://schemas.openxmlformats.org/officeDocument/2006/relationships/table" Target="../tables/table99.xml"/><Relationship Id="rId10" Type="http://schemas.openxmlformats.org/officeDocument/2006/relationships/table" Target="../tables/table60.xml"/><Relationship Id="rId19" Type="http://schemas.openxmlformats.org/officeDocument/2006/relationships/table" Target="../tables/table69.xml"/><Relationship Id="rId31" Type="http://schemas.openxmlformats.org/officeDocument/2006/relationships/table" Target="../tables/table81.xml"/><Relationship Id="rId44" Type="http://schemas.openxmlformats.org/officeDocument/2006/relationships/table" Target="../tables/table94.xml"/><Relationship Id="rId4" Type="http://schemas.openxmlformats.org/officeDocument/2006/relationships/table" Target="../tables/table54.xml"/><Relationship Id="rId9" Type="http://schemas.openxmlformats.org/officeDocument/2006/relationships/table" Target="../tables/table59.xml"/><Relationship Id="rId14" Type="http://schemas.openxmlformats.org/officeDocument/2006/relationships/table" Target="../tables/table64.xml"/><Relationship Id="rId22" Type="http://schemas.openxmlformats.org/officeDocument/2006/relationships/table" Target="../tables/table72.xml"/><Relationship Id="rId27" Type="http://schemas.openxmlformats.org/officeDocument/2006/relationships/table" Target="../tables/table77.xml"/><Relationship Id="rId30" Type="http://schemas.openxmlformats.org/officeDocument/2006/relationships/table" Target="../tables/table80.xml"/><Relationship Id="rId35" Type="http://schemas.openxmlformats.org/officeDocument/2006/relationships/table" Target="../tables/table85.xml"/><Relationship Id="rId43" Type="http://schemas.openxmlformats.org/officeDocument/2006/relationships/table" Target="../tables/table93.xml"/><Relationship Id="rId48" Type="http://schemas.openxmlformats.org/officeDocument/2006/relationships/table" Target="../tables/table98.xml"/><Relationship Id="rId8" Type="http://schemas.openxmlformats.org/officeDocument/2006/relationships/table" Target="../tables/table58.xml"/><Relationship Id="rId3" Type="http://schemas.openxmlformats.org/officeDocument/2006/relationships/table" Target="../tables/table53.xml"/><Relationship Id="rId12" Type="http://schemas.openxmlformats.org/officeDocument/2006/relationships/table" Target="../tables/table62.xml"/><Relationship Id="rId17" Type="http://schemas.openxmlformats.org/officeDocument/2006/relationships/table" Target="../tables/table67.xml"/><Relationship Id="rId25" Type="http://schemas.openxmlformats.org/officeDocument/2006/relationships/table" Target="../tables/table75.xml"/><Relationship Id="rId33" Type="http://schemas.openxmlformats.org/officeDocument/2006/relationships/table" Target="../tables/table83.xml"/><Relationship Id="rId38" Type="http://schemas.openxmlformats.org/officeDocument/2006/relationships/table" Target="../tables/table88.xml"/><Relationship Id="rId46" Type="http://schemas.openxmlformats.org/officeDocument/2006/relationships/table" Target="../tables/table96.xml"/><Relationship Id="rId20" Type="http://schemas.openxmlformats.org/officeDocument/2006/relationships/table" Target="../tables/table70.xml"/><Relationship Id="rId41" Type="http://schemas.openxmlformats.org/officeDocument/2006/relationships/table" Target="../tables/table91.xml"/><Relationship Id="rId1" Type="http://schemas.openxmlformats.org/officeDocument/2006/relationships/table" Target="../tables/table51.xml"/><Relationship Id="rId6" Type="http://schemas.openxmlformats.org/officeDocument/2006/relationships/table" Target="../tables/table56.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01.xml"/><Relationship Id="rId1" Type="http://schemas.openxmlformats.org/officeDocument/2006/relationships/drawing" Target="../drawings/drawing11.xml"/></Relationships>
</file>

<file path=xl/worksheets/_rels/sheet26.xml.rels><?xml version="1.0" encoding="UTF-8" standalone="yes"?>
<Relationships xmlns="http://schemas.openxmlformats.org/package/2006/relationships"><Relationship Id="rId8" Type="http://schemas.openxmlformats.org/officeDocument/2006/relationships/table" Target="../tables/table103.xml"/><Relationship Id="rId3" Type="http://schemas.openxmlformats.org/officeDocument/2006/relationships/hyperlink" Target="file:///\\wts\..\..\..\..\..\..\..\..\..\..\..\..\..\..\..\..\..\..\..\..\..\03%20Materialdaten\" TargetMode="External"/><Relationship Id="rId7" Type="http://schemas.openxmlformats.org/officeDocument/2006/relationships/table" Target="../tables/table102.xml"/><Relationship Id="rId2" Type="http://schemas.openxmlformats.org/officeDocument/2006/relationships/hyperlink" Target="mailto:info@aws-systemtechnik.de" TargetMode="External"/><Relationship Id="rId1" Type="http://schemas.openxmlformats.org/officeDocument/2006/relationships/hyperlink" Target="mailto:info@aws-systemtechnik.de" TargetMode="External"/><Relationship Id="rId6" Type="http://schemas.openxmlformats.org/officeDocument/2006/relationships/printerSettings" Target="../printerSettings/printerSettings16.bin"/><Relationship Id="rId5" Type="http://schemas.openxmlformats.org/officeDocument/2006/relationships/hyperlink" Target="mailto:eray.altuntas@aws-ce.com" TargetMode="External"/><Relationship Id="rId4" Type="http://schemas.openxmlformats.org/officeDocument/2006/relationships/hyperlink" Target="file:///\\wts\..\..\..\..\..\..\..\..\..\..\..\..\..\..\..\..\..\..\..\..\..\03%20Materialdaten\" TargetMode="External"/><Relationship Id="rId9" Type="http://schemas.openxmlformats.org/officeDocument/2006/relationships/table" Target="../tables/table10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41836-9226-4E89-B2EF-3A6A75C6264F}">
  <sheetPr codeName="TabLog">
    <tabColor rgb="FFFFC000"/>
    <outlinePr summaryBelow="0" summaryRight="0"/>
  </sheetPr>
  <dimension ref="B1:J134"/>
  <sheetViews>
    <sheetView showGridLines="0" workbookViewId="0">
      <selection activeCell="C133" sqref="C133"/>
    </sheetView>
  </sheetViews>
  <sheetFormatPr baseColWidth="10" defaultColWidth="11.42578125" defaultRowHeight="12.75" outlineLevelRow="1"/>
  <cols>
    <col min="1" max="1" width="2.7109375" style="5" customWidth="1"/>
    <col min="2" max="2" width="5.7109375" style="13" customWidth="1"/>
    <col min="3" max="3" width="20.7109375" style="2" customWidth="1"/>
    <col min="4" max="4" width="100.7109375" style="3" customWidth="1"/>
    <col min="5" max="5" width="20.7109375" style="5" customWidth="1"/>
    <col min="6" max="7" width="20.7109375" style="4" customWidth="1"/>
    <col min="8" max="8" width="10.7109375" style="4" customWidth="1"/>
    <col min="9" max="9" width="2.7109375" style="5" customWidth="1"/>
    <col min="10" max="10" width="15.140625" style="4" bestFit="1" customWidth="1"/>
    <col min="11" max="16384" width="11.42578125" style="5"/>
  </cols>
  <sheetData>
    <row r="1" spans="2:10">
      <c r="B1" s="2"/>
      <c r="E1" s="4"/>
      <c r="J1" s="5"/>
    </row>
    <row r="2" spans="2:10" collapsed="1">
      <c r="B2" s="6" t="s">
        <v>148</v>
      </c>
      <c r="C2" s="6" t="s">
        <v>2188</v>
      </c>
      <c r="D2" s="7" t="s">
        <v>2128</v>
      </c>
      <c r="E2" s="8" t="s">
        <v>2127</v>
      </c>
      <c r="F2" s="8" t="s">
        <v>2131</v>
      </c>
      <c r="G2" s="8" t="s">
        <v>178</v>
      </c>
      <c r="H2" s="8" t="s">
        <v>2126</v>
      </c>
      <c r="I2" s="4"/>
      <c r="J2" s="5"/>
    </row>
    <row r="3" spans="2:10" hidden="1" outlineLevel="1">
      <c r="B3" s="9">
        <v>1</v>
      </c>
      <c r="C3" s="6"/>
      <c r="D3" s="10" t="s">
        <v>2129</v>
      </c>
      <c r="E3" s="6" t="s">
        <v>2130</v>
      </c>
      <c r="F3" s="6" t="s">
        <v>2132</v>
      </c>
      <c r="G3" s="11" t="s">
        <v>2203</v>
      </c>
      <c r="H3" s="12">
        <v>44307</v>
      </c>
      <c r="I3" s="4"/>
      <c r="J3" s="5"/>
    </row>
    <row r="4" spans="2:10" hidden="1" outlineLevel="1">
      <c r="B4" s="9">
        <v>2</v>
      </c>
      <c r="C4" s="6" t="s">
        <v>1915</v>
      </c>
      <c r="D4" s="10" t="s">
        <v>2200</v>
      </c>
      <c r="E4" s="6" t="s">
        <v>2130</v>
      </c>
      <c r="F4" s="6" t="s">
        <v>2132</v>
      </c>
      <c r="G4" s="11" t="s">
        <v>2203</v>
      </c>
      <c r="H4" s="12">
        <v>44322</v>
      </c>
      <c r="I4" s="4"/>
      <c r="J4" s="5"/>
    </row>
    <row r="5" spans="2:10" ht="38.25" hidden="1" outlineLevel="1">
      <c r="B5" s="9">
        <v>3</v>
      </c>
      <c r="C5" s="6" t="s">
        <v>873</v>
      </c>
      <c r="D5" s="10" t="s">
        <v>2199</v>
      </c>
      <c r="E5" s="6" t="s">
        <v>2130</v>
      </c>
      <c r="F5" s="6" t="s">
        <v>2132</v>
      </c>
      <c r="G5" s="11" t="s">
        <v>2203</v>
      </c>
      <c r="H5" s="12">
        <v>44322</v>
      </c>
      <c r="I5" s="4"/>
      <c r="J5" s="5"/>
    </row>
    <row r="6" spans="2:10" hidden="1" outlineLevel="1">
      <c r="B6" s="9">
        <v>4</v>
      </c>
      <c r="C6" s="6"/>
      <c r="D6" s="10" t="s">
        <v>2201</v>
      </c>
      <c r="E6" s="6" t="s">
        <v>2130</v>
      </c>
      <c r="F6" s="6" t="s">
        <v>2132</v>
      </c>
      <c r="G6" s="11" t="s">
        <v>2203</v>
      </c>
      <c r="H6" s="12">
        <v>44322</v>
      </c>
      <c r="I6" s="4"/>
      <c r="J6" s="5"/>
    </row>
    <row r="7" spans="2:10" hidden="1" outlineLevel="1">
      <c r="B7" s="9">
        <v>5</v>
      </c>
      <c r="C7" s="6" t="s">
        <v>749</v>
      </c>
      <c r="D7" s="10" t="s">
        <v>2202</v>
      </c>
      <c r="E7" s="6" t="s">
        <v>2130</v>
      </c>
      <c r="F7" s="6" t="s">
        <v>2132</v>
      </c>
      <c r="G7" s="11" t="s">
        <v>2203</v>
      </c>
      <c r="H7" s="12">
        <v>44322</v>
      </c>
      <c r="I7" s="4"/>
      <c r="J7" s="5"/>
    </row>
    <row r="8" spans="2:10" hidden="1" outlineLevel="1">
      <c r="B8" s="9">
        <v>6</v>
      </c>
      <c r="C8" s="6" t="s">
        <v>1376</v>
      </c>
      <c r="D8" s="10" t="s">
        <v>2204</v>
      </c>
      <c r="E8" s="6" t="s">
        <v>2130</v>
      </c>
      <c r="F8" s="6" t="s">
        <v>2132</v>
      </c>
      <c r="G8" s="11" t="s">
        <v>2203</v>
      </c>
      <c r="H8" s="12">
        <v>44322</v>
      </c>
      <c r="I8" s="4"/>
      <c r="J8" s="5"/>
    </row>
    <row r="9" spans="2:10" hidden="1" outlineLevel="1">
      <c r="B9" s="9">
        <v>7</v>
      </c>
      <c r="C9" s="6" t="s">
        <v>1376</v>
      </c>
      <c r="D9" s="10" t="s">
        <v>2216</v>
      </c>
      <c r="E9" s="6" t="s">
        <v>2130</v>
      </c>
      <c r="F9" s="6" t="s">
        <v>2132</v>
      </c>
      <c r="G9" s="11" t="s">
        <v>2203</v>
      </c>
      <c r="H9" s="12">
        <v>44322</v>
      </c>
      <c r="I9" s="4"/>
      <c r="J9" s="5"/>
    </row>
    <row r="10" spans="2:10" ht="38.25" hidden="1" outlineLevel="1">
      <c r="B10" s="9">
        <v>8</v>
      </c>
      <c r="C10" s="14"/>
      <c r="D10" s="10" t="s">
        <v>2206</v>
      </c>
      <c r="E10" s="6" t="s">
        <v>2130</v>
      </c>
      <c r="F10" s="6" t="s">
        <v>2132</v>
      </c>
      <c r="G10" s="11" t="s">
        <v>2203</v>
      </c>
      <c r="H10" s="12">
        <v>44325</v>
      </c>
      <c r="I10" s="4"/>
      <c r="J10" s="5"/>
    </row>
    <row r="11" spans="2:10" ht="76.5" hidden="1" outlineLevel="1">
      <c r="B11" s="9">
        <v>9</v>
      </c>
      <c r="C11" s="6" t="s">
        <v>1376</v>
      </c>
      <c r="D11" s="10" t="s">
        <v>2385</v>
      </c>
      <c r="E11" s="6" t="s">
        <v>2130</v>
      </c>
      <c r="F11" s="6" t="s">
        <v>2132</v>
      </c>
      <c r="G11" s="11" t="s">
        <v>2203</v>
      </c>
      <c r="H11" s="12">
        <v>44325</v>
      </c>
      <c r="I11" s="4"/>
      <c r="J11" s="5"/>
    </row>
    <row r="12" spans="2:10" ht="63.75" hidden="1" outlineLevel="1">
      <c r="B12" s="9">
        <v>10</v>
      </c>
      <c r="C12" s="6" t="s">
        <v>749</v>
      </c>
      <c r="D12" s="10" t="s">
        <v>2386</v>
      </c>
      <c r="E12" s="6" t="s">
        <v>2130</v>
      </c>
      <c r="F12" s="6" t="s">
        <v>2132</v>
      </c>
      <c r="G12" s="11" t="s">
        <v>2203</v>
      </c>
      <c r="H12" s="12">
        <v>44325</v>
      </c>
      <c r="I12" s="4"/>
      <c r="J12" s="5"/>
    </row>
    <row r="13" spans="2:10" ht="51" hidden="1" outlineLevel="1">
      <c r="B13" s="9">
        <v>11</v>
      </c>
      <c r="C13" s="6" t="s">
        <v>875</v>
      </c>
      <c r="D13" s="10" t="s">
        <v>2205</v>
      </c>
      <c r="E13" s="6" t="s">
        <v>2130</v>
      </c>
      <c r="F13" s="6" t="s">
        <v>2132</v>
      </c>
      <c r="G13" s="11" t="s">
        <v>2203</v>
      </c>
      <c r="H13" s="12">
        <v>44325</v>
      </c>
      <c r="I13" s="4"/>
      <c r="J13" s="5"/>
    </row>
    <row r="14" spans="2:10" hidden="1" outlineLevel="1">
      <c r="B14" s="9">
        <v>12</v>
      </c>
      <c r="C14" s="6"/>
      <c r="D14" s="10" t="s">
        <v>2198</v>
      </c>
      <c r="E14" s="6" t="s">
        <v>2130</v>
      </c>
      <c r="F14" s="6" t="s">
        <v>2132</v>
      </c>
      <c r="G14" s="11" t="s">
        <v>2203</v>
      </c>
      <c r="H14" s="12">
        <v>44325</v>
      </c>
      <c r="I14" s="4"/>
      <c r="J14" s="5"/>
    </row>
    <row r="15" spans="2:10" hidden="1" outlineLevel="1">
      <c r="B15" s="9">
        <v>13</v>
      </c>
      <c r="C15" s="6" t="s">
        <v>875</v>
      </c>
      <c r="D15" s="10" t="s">
        <v>2242</v>
      </c>
      <c r="E15" s="6" t="s">
        <v>2130</v>
      </c>
      <c r="F15" s="6" t="s">
        <v>2132</v>
      </c>
      <c r="G15" s="11" t="s">
        <v>2203</v>
      </c>
      <c r="H15" s="12">
        <v>44327</v>
      </c>
      <c r="I15" s="4"/>
      <c r="J15" s="5"/>
    </row>
    <row r="16" spans="2:10" hidden="1" outlineLevel="1">
      <c r="B16" s="9">
        <v>14</v>
      </c>
      <c r="C16" s="9"/>
      <c r="D16" s="10" t="s">
        <v>2289</v>
      </c>
      <c r="E16" s="6" t="s">
        <v>2130</v>
      </c>
      <c r="F16" s="6" t="s">
        <v>2132</v>
      </c>
      <c r="G16" s="11" t="s">
        <v>2273</v>
      </c>
      <c r="H16" s="12">
        <v>44331</v>
      </c>
      <c r="I16" s="4"/>
      <c r="J16" s="5"/>
    </row>
    <row r="17" spans="2:10" hidden="1" outlineLevel="1">
      <c r="B17" s="9">
        <v>15</v>
      </c>
      <c r="C17" s="6"/>
      <c r="D17" s="10" t="s">
        <v>2290</v>
      </c>
      <c r="E17" s="6" t="s">
        <v>2130</v>
      </c>
      <c r="F17" s="6" t="s">
        <v>2132</v>
      </c>
      <c r="G17" s="11" t="s">
        <v>2273</v>
      </c>
      <c r="H17" s="12">
        <v>44332</v>
      </c>
      <c r="I17" s="4"/>
      <c r="J17" s="5"/>
    </row>
    <row r="18" spans="2:10" hidden="1" outlineLevel="1">
      <c r="B18" s="9">
        <v>16</v>
      </c>
      <c r="C18" s="6"/>
      <c r="D18" s="10" t="s">
        <v>2291</v>
      </c>
      <c r="E18" s="6" t="s">
        <v>2130</v>
      </c>
      <c r="F18" s="6" t="s">
        <v>2132</v>
      </c>
      <c r="G18" s="11" t="s">
        <v>2273</v>
      </c>
      <c r="H18" s="12">
        <v>44332</v>
      </c>
      <c r="I18" s="4"/>
      <c r="J18" s="5"/>
    </row>
    <row r="19" spans="2:10" hidden="1" outlineLevel="1">
      <c r="B19" s="9">
        <v>17</v>
      </c>
      <c r="C19" s="9"/>
      <c r="D19" s="10" t="s">
        <v>2294</v>
      </c>
      <c r="E19" s="6" t="s">
        <v>2130</v>
      </c>
      <c r="F19" s="6" t="s">
        <v>2132</v>
      </c>
      <c r="G19" s="11" t="s">
        <v>2273</v>
      </c>
      <c r="H19" s="12">
        <v>44332</v>
      </c>
    </row>
    <row r="20" spans="2:10" ht="38.25" hidden="1" outlineLevel="1">
      <c r="B20" s="9">
        <v>18</v>
      </c>
      <c r="C20" s="9" t="s">
        <v>873</v>
      </c>
      <c r="D20" s="10" t="s">
        <v>2350</v>
      </c>
      <c r="E20" s="6" t="s">
        <v>2130</v>
      </c>
      <c r="F20" s="6" t="s">
        <v>2132</v>
      </c>
      <c r="G20" s="11" t="s">
        <v>2330</v>
      </c>
      <c r="H20" s="12">
        <v>44357</v>
      </c>
    </row>
    <row r="21" spans="2:10" hidden="1" outlineLevel="1">
      <c r="B21" s="9">
        <v>19</v>
      </c>
      <c r="C21" s="9"/>
      <c r="D21" s="10" t="s">
        <v>2349</v>
      </c>
      <c r="E21" s="6" t="s">
        <v>2130</v>
      </c>
      <c r="F21" s="6" t="s">
        <v>2132</v>
      </c>
      <c r="G21" s="11" t="s">
        <v>2330</v>
      </c>
      <c r="H21" s="12">
        <v>44357</v>
      </c>
    </row>
    <row r="22" spans="2:10" hidden="1" outlineLevel="1">
      <c r="B22" s="9">
        <v>20</v>
      </c>
      <c r="C22" s="9"/>
      <c r="D22" s="10" t="s">
        <v>2376</v>
      </c>
      <c r="E22" s="6" t="s">
        <v>2130</v>
      </c>
      <c r="F22" s="6" t="s">
        <v>2132</v>
      </c>
      <c r="G22" s="11" t="s">
        <v>2330</v>
      </c>
      <c r="H22" s="12">
        <v>44357</v>
      </c>
    </row>
    <row r="23" spans="2:10" hidden="1" outlineLevel="1">
      <c r="B23" s="9">
        <v>21</v>
      </c>
      <c r="C23" s="9"/>
      <c r="D23" s="10" t="s">
        <v>2198</v>
      </c>
      <c r="E23" s="6" t="s">
        <v>2130</v>
      </c>
      <c r="F23" s="6" t="s">
        <v>2132</v>
      </c>
      <c r="G23" s="11" t="s">
        <v>2330</v>
      </c>
      <c r="H23" s="12">
        <v>44357</v>
      </c>
    </row>
    <row r="24" spans="2:10" hidden="1" outlineLevel="1">
      <c r="B24" s="9">
        <v>22</v>
      </c>
      <c r="C24" s="9"/>
      <c r="D24" s="10" t="s">
        <v>2425</v>
      </c>
      <c r="E24" s="6" t="s">
        <v>2130</v>
      </c>
      <c r="F24" s="6" t="s">
        <v>2132</v>
      </c>
      <c r="G24" s="11" t="s">
        <v>2426</v>
      </c>
      <c r="H24" s="12">
        <v>44370</v>
      </c>
    </row>
    <row r="25" spans="2:10" hidden="1" outlineLevel="1">
      <c r="B25" s="9">
        <v>23</v>
      </c>
      <c r="C25" s="9"/>
      <c r="D25" s="10" t="s">
        <v>2433</v>
      </c>
      <c r="E25" s="6" t="s">
        <v>2130</v>
      </c>
      <c r="F25" s="6" t="s">
        <v>2132</v>
      </c>
      <c r="G25" s="11" t="s">
        <v>2426</v>
      </c>
      <c r="H25" s="12">
        <v>44382</v>
      </c>
    </row>
    <row r="26" spans="2:10" hidden="1" outlineLevel="1">
      <c r="B26" s="9">
        <v>24</v>
      </c>
      <c r="C26" s="9" t="s">
        <v>284</v>
      </c>
      <c r="D26" s="10" t="s">
        <v>2445</v>
      </c>
      <c r="E26" s="6" t="s">
        <v>2130</v>
      </c>
      <c r="F26" s="6" t="s">
        <v>2132</v>
      </c>
      <c r="G26" s="11" t="s">
        <v>2426</v>
      </c>
      <c r="H26" s="12">
        <v>44410</v>
      </c>
    </row>
    <row r="27" spans="2:10" hidden="1" outlineLevel="1">
      <c r="B27" s="9">
        <v>25</v>
      </c>
      <c r="C27" s="9" t="s">
        <v>204</v>
      </c>
      <c r="D27" s="10" t="s">
        <v>2446</v>
      </c>
      <c r="E27" s="6" t="s">
        <v>2130</v>
      </c>
      <c r="F27" s="6" t="s">
        <v>2132</v>
      </c>
      <c r="G27" s="11" t="s">
        <v>2426</v>
      </c>
      <c r="H27" s="12">
        <v>44410</v>
      </c>
    </row>
    <row r="28" spans="2:10" hidden="1" outlineLevel="1">
      <c r="B28" s="9">
        <v>26</v>
      </c>
      <c r="C28" s="796" t="s">
        <v>204</v>
      </c>
      <c r="D28" s="10" t="s">
        <v>2501</v>
      </c>
      <c r="E28" s="6" t="s">
        <v>2130</v>
      </c>
      <c r="F28" s="6" t="s">
        <v>2132</v>
      </c>
      <c r="G28" s="11" t="s">
        <v>2426</v>
      </c>
      <c r="H28" s="797">
        <v>44410</v>
      </c>
    </row>
    <row r="29" spans="2:10" hidden="1" outlineLevel="1">
      <c r="B29" s="9">
        <v>27</v>
      </c>
      <c r="C29" s="9" t="s">
        <v>284</v>
      </c>
      <c r="D29" s="10" t="s">
        <v>2502</v>
      </c>
      <c r="E29" s="6" t="s">
        <v>2130</v>
      </c>
      <c r="F29" s="6" t="s">
        <v>2132</v>
      </c>
      <c r="G29" s="11" t="s">
        <v>2426</v>
      </c>
      <c r="H29" s="797">
        <v>44442</v>
      </c>
    </row>
    <row r="30" spans="2:10" hidden="1" outlineLevel="1">
      <c r="B30" s="9">
        <v>28</v>
      </c>
      <c r="C30" s="9" t="s">
        <v>284</v>
      </c>
      <c r="D30" s="10" t="s">
        <v>2504</v>
      </c>
      <c r="E30" s="6" t="s">
        <v>2130</v>
      </c>
      <c r="F30" s="6" t="s">
        <v>2132</v>
      </c>
      <c r="G30" s="11" t="s">
        <v>2426</v>
      </c>
      <c r="H30" s="797">
        <v>44442</v>
      </c>
    </row>
    <row r="31" spans="2:10" hidden="1" outlineLevel="1">
      <c r="B31" s="9">
        <v>29</v>
      </c>
      <c r="C31" s="9" t="s">
        <v>204</v>
      </c>
      <c r="D31" s="10" t="s">
        <v>2503</v>
      </c>
      <c r="E31" s="6" t="s">
        <v>2130</v>
      </c>
      <c r="F31" s="6" t="s">
        <v>2132</v>
      </c>
      <c r="G31" s="11" t="s">
        <v>2426</v>
      </c>
      <c r="H31" s="797">
        <v>44442</v>
      </c>
    </row>
    <row r="32" spans="2:10" hidden="1" outlineLevel="1">
      <c r="B32" s="9">
        <v>30</v>
      </c>
      <c r="C32" s="9" t="s">
        <v>58</v>
      </c>
      <c r="D32" s="10" t="s">
        <v>2505</v>
      </c>
      <c r="E32" s="6" t="s">
        <v>2130</v>
      </c>
      <c r="F32" s="6" t="s">
        <v>2132</v>
      </c>
      <c r="G32" s="11" t="s">
        <v>2426</v>
      </c>
      <c r="H32" s="797">
        <v>44442</v>
      </c>
    </row>
    <row r="33" spans="2:8" hidden="1" outlineLevel="1">
      <c r="B33" s="9">
        <v>31</v>
      </c>
      <c r="C33" s="9" t="s">
        <v>2133</v>
      </c>
      <c r="D33" s="10" t="s">
        <v>2506</v>
      </c>
      <c r="E33" s="6" t="s">
        <v>2130</v>
      </c>
      <c r="F33" s="6" t="s">
        <v>2132</v>
      </c>
      <c r="G33" s="11" t="s">
        <v>2426</v>
      </c>
      <c r="H33" s="797">
        <v>44442</v>
      </c>
    </row>
    <row r="34" spans="2:8" ht="25.5" hidden="1" outlineLevel="1">
      <c r="B34" s="9">
        <v>32</v>
      </c>
      <c r="C34" s="9"/>
      <c r="D34" s="10" t="s">
        <v>2509</v>
      </c>
      <c r="E34" s="6" t="s">
        <v>2130</v>
      </c>
      <c r="F34" s="6" t="s">
        <v>2132</v>
      </c>
      <c r="G34" s="11" t="s">
        <v>2426</v>
      </c>
      <c r="H34" s="797">
        <v>44442</v>
      </c>
    </row>
    <row r="35" spans="2:8" hidden="1" outlineLevel="1">
      <c r="B35" s="9">
        <v>33</v>
      </c>
      <c r="C35" s="9"/>
      <c r="D35" s="10" t="s">
        <v>2507</v>
      </c>
      <c r="E35" s="6" t="s">
        <v>2130</v>
      </c>
      <c r="F35" s="6" t="s">
        <v>2132</v>
      </c>
      <c r="G35" s="11" t="s">
        <v>2426</v>
      </c>
      <c r="H35" s="797">
        <v>44442</v>
      </c>
    </row>
    <row r="36" spans="2:8" hidden="1" outlineLevel="1">
      <c r="B36" s="9">
        <v>34</v>
      </c>
      <c r="C36" s="9"/>
      <c r="D36" s="10" t="s">
        <v>2508</v>
      </c>
      <c r="E36" s="6" t="s">
        <v>2130</v>
      </c>
      <c r="F36" s="6" t="s">
        <v>2132</v>
      </c>
      <c r="G36" s="11" t="s">
        <v>2426</v>
      </c>
      <c r="H36" s="797">
        <v>44442</v>
      </c>
    </row>
    <row r="37" spans="2:8" hidden="1" outlineLevel="1">
      <c r="B37" s="9">
        <v>35</v>
      </c>
      <c r="C37" s="9"/>
      <c r="D37" s="10" t="s">
        <v>2198</v>
      </c>
      <c r="E37" s="6" t="s">
        <v>2130</v>
      </c>
      <c r="F37" s="6" t="s">
        <v>2132</v>
      </c>
      <c r="G37" s="11" t="s">
        <v>2426</v>
      </c>
      <c r="H37" s="797">
        <v>44442</v>
      </c>
    </row>
    <row r="38" spans="2:8" ht="51" hidden="1" outlineLevel="1">
      <c r="B38" s="9">
        <v>36</v>
      </c>
      <c r="C38" s="9"/>
      <c r="D38" s="10" t="s">
        <v>2607</v>
      </c>
      <c r="E38" s="6" t="s">
        <v>2130</v>
      </c>
      <c r="F38" s="6" t="s">
        <v>2132</v>
      </c>
      <c r="G38" s="11" t="s">
        <v>2609</v>
      </c>
      <c r="H38" s="12">
        <v>44456</v>
      </c>
    </row>
    <row r="39" spans="2:8" hidden="1" outlineLevel="1">
      <c r="B39" s="9">
        <v>37</v>
      </c>
      <c r="C39" s="9" t="s">
        <v>204</v>
      </c>
      <c r="D39" s="10" t="s">
        <v>2608</v>
      </c>
      <c r="E39" s="6" t="s">
        <v>2130</v>
      </c>
      <c r="F39" s="6" t="s">
        <v>2132</v>
      </c>
      <c r="G39" s="11" t="s">
        <v>2609</v>
      </c>
      <c r="H39" s="12">
        <v>44456</v>
      </c>
    </row>
    <row r="40" spans="2:8" hidden="1" outlineLevel="1">
      <c r="B40" s="9">
        <v>38</v>
      </c>
      <c r="C40" s="9" t="s">
        <v>749</v>
      </c>
      <c r="D40" s="10" t="s">
        <v>2610</v>
      </c>
      <c r="E40" s="6" t="s">
        <v>2130</v>
      </c>
      <c r="F40" s="6" t="s">
        <v>2132</v>
      </c>
      <c r="G40" s="11" t="s">
        <v>2609</v>
      </c>
      <c r="H40" s="12">
        <v>44456</v>
      </c>
    </row>
    <row r="41" spans="2:8" ht="25.5" hidden="1" outlineLevel="1">
      <c r="B41" s="9">
        <v>39</v>
      </c>
      <c r="C41" s="9" t="s">
        <v>749</v>
      </c>
      <c r="D41" s="10" t="s">
        <v>2642</v>
      </c>
      <c r="E41" s="6" t="s">
        <v>2130</v>
      </c>
      <c r="F41" s="6" t="s">
        <v>2132</v>
      </c>
      <c r="G41" s="11" t="s">
        <v>2645</v>
      </c>
      <c r="H41" s="949">
        <v>44472</v>
      </c>
    </row>
    <row r="42" spans="2:8" hidden="1" outlineLevel="1">
      <c r="B42" s="9">
        <v>40</v>
      </c>
      <c r="C42" s="9" t="s">
        <v>749</v>
      </c>
      <c r="D42" s="10" t="s">
        <v>2646</v>
      </c>
      <c r="E42" s="6" t="s">
        <v>2130</v>
      </c>
      <c r="F42" s="6" t="s">
        <v>2132</v>
      </c>
      <c r="G42" s="11" t="s">
        <v>2645</v>
      </c>
      <c r="H42" s="949">
        <v>44472</v>
      </c>
    </row>
    <row r="43" spans="2:8" ht="25.5" hidden="1" outlineLevel="1">
      <c r="B43" s="9">
        <v>41</v>
      </c>
      <c r="C43" s="9" t="s">
        <v>749</v>
      </c>
      <c r="D43" s="10" t="s">
        <v>2643</v>
      </c>
      <c r="E43" s="6" t="s">
        <v>2130</v>
      </c>
      <c r="F43" s="6" t="s">
        <v>2132</v>
      </c>
      <c r="G43" s="11" t="s">
        <v>2645</v>
      </c>
      <c r="H43" s="949">
        <v>44472</v>
      </c>
    </row>
    <row r="44" spans="2:8" hidden="1" outlineLevel="1">
      <c r="B44" s="9">
        <v>42</v>
      </c>
      <c r="C44" s="938"/>
      <c r="D44" s="10" t="s">
        <v>2644</v>
      </c>
      <c r="E44" s="6" t="s">
        <v>2130</v>
      </c>
      <c r="F44" s="6" t="s">
        <v>2132</v>
      </c>
      <c r="G44" s="11" t="s">
        <v>2645</v>
      </c>
      <c r="H44" s="949">
        <v>44472</v>
      </c>
    </row>
    <row r="45" spans="2:8" hidden="1" outlineLevel="1">
      <c r="B45" s="9">
        <v>43</v>
      </c>
      <c r="C45" s="9" t="s">
        <v>204</v>
      </c>
      <c r="D45" s="10" t="s">
        <v>3202</v>
      </c>
      <c r="E45" s="6" t="s">
        <v>2130</v>
      </c>
      <c r="F45" s="6" t="s">
        <v>2132</v>
      </c>
      <c r="G45" s="11" t="s">
        <v>2645</v>
      </c>
      <c r="H45" s="12">
        <v>44472</v>
      </c>
    </row>
    <row r="46" spans="2:8" ht="25.5" hidden="1" outlineLevel="1">
      <c r="B46" s="9">
        <v>44</v>
      </c>
      <c r="C46" s="9" t="s">
        <v>816</v>
      </c>
      <c r="D46" s="10" t="s">
        <v>3203</v>
      </c>
      <c r="E46" s="6" t="s">
        <v>2130</v>
      </c>
      <c r="F46" s="6" t="s">
        <v>2132</v>
      </c>
      <c r="G46" s="11" t="s">
        <v>2645</v>
      </c>
      <c r="H46" s="12">
        <v>44472</v>
      </c>
    </row>
    <row r="47" spans="2:8" hidden="1" outlineLevel="1">
      <c r="B47" s="9">
        <v>45</v>
      </c>
      <c r="C47" s="9" t="s">
        <v>58</v>
      </c>
      <c r="D47" s="10" t="s">
        <v>3204</v>
      </c>
      <c r="E47" s="6" t="s">
        <v>2130</v>
      </c>
      <c r="F47" s="6" t="s">
        <v>2132</v>
      </c>
      <c r="G47" s="11" t="s">
        <v>2645</v>
      </c>
      <c r="H47" s="12">
        <v>44487</v>
      </c>
    </row>
    <row r="48" spans="2:8" hidden="1" outlineLevel="1">
      <c r="B48" s="9">
        <v>46</v>
      </c>
      <c r="C48" s="9"/>
      <c r="D48" s="10" t="s">
        <v>3205</v>
      </c>
      <c r="E48" s="6" t="s">
        <v>2130</v>
      </c>
      <c r="F48" s="6" t="s">
        <v>2132</v>
      </c>
      <c r="G48" s="11" t="s">
        <v>2645</v>
      </c>
      <c r="H48" s="12">
        <v>44489</v>
      </c>
    </row>
    <row r="49" spans="2:8" hidden="1" outlineLevel="1">
      <c r="B49" s="9">
        <v>47</v>
      </c>
      <c r="C49" s="9"/>
      <c r="D49" s="10" t="s">
        <v>3206</v>
      </c>
      <c r="E49" s="6" t="s">
        <v>2130</v>
      </c>
      <c r="F49" s="6" t="s">
        <v>2132</v>
      </c>
      <c r="G49" s="11" t="s">
        <v>2645</v>
      </c>
      <c r="H49" s="12">
        <v>44492</v>
      </c>
    </row>
    <row r="50" spans="2:8" hidden="1" outlineLevel="1">
      <c r="B50" s="9">
        <v>48</v>
      </c>
      <c r="C50" s="9" t="s">
        <v>749</v>
      </c>
      <c r="D50" s="10" t="s">
        <v>3207</v>
      </c>
      <c r="E50" s="6" t="s">
        <v>2130</v>
      </c>
      <c r="F50" s="6" t="s">
        <v>2132</v>
      </c>
      <c r="G50" s="11" t="s">
        <v>2645</v>
      </c>
      <c r="H50" s="12">
        <v>44495</v>
      </c>
    </row>
    <row r="51" spans="2:8" hidden="1" outlineLevel="1">
      <c r="B51" s="9">
        <v>49</v>
      </c>
      <c r="C51" s="9" t="s">
        <v>58</v>
      </c>
      <c r="D51" s="10" t="s">
        <v>3208</v>
      </c>
      <c r="E51" s="6" t="s">
        <v>2130</v>
      </c>
      <c r="F51" s="6" t="s">
        <v>2132</v>
      </c>
      <c r="G51" s="11" t="s">
        <v>3209</v>
      </c>
      <c r="H51" s="12">
        <v>44504</v>
      </c>
    </row>
    <row r="52" spans="2:8" hidden="1" outlineLevel="1">
      <c r="B52" s="9">
        <v>50</v>
      </c>
      <c r="C52" s="9" t="s">
        <v>749</v>
      </c>
      <c r="D52" s="10" t="s">
        <v>3210</v>
      </c>
      <c r="E52" s="6" t="s">
        <v>2130</v>
      </c>
      <c r="F52" s="6" t="s">
        <v>2132</v>
      </c>
      <c r="G52" s="11" t="s">
        <v>3211</v>
      </c>
      <c r="H52" s="12">
        <v>44509</v>
      </c>
    </row>
    <row r="53" spans="2:8" hidden="1" outlineLevel="1">
      <c r="B53" s="9">
        <v>51</v>
      </c>
      <c r="C53" s="9"/>
      <c r="D53" s="10" t="s">
        <v>3212</v>
      </c>
      <c r="E53" s="6" t="s">
        <v>2130</v>
      </c>
      <c r="F53" s="6" t="s">
        <v>2132</v>
      </c>
      <c r="G53" s="11" t="s">
        <v>3213</v>
      </c>
      <c r="H53" s="12">
        <v>44512</v>
      </c>
    </row>
    <row r="54" spans="2:8" hidden="1" outlineLevel="1">
      <c r="B54" s="9">
        <v>52</v>
      </c>
      <c r="C54" s="1025"/>
      <c r="D54" s="10" t="s">
        <v>3215</v>
      </c>
      <c r="E54" s="6" t="s">
        <v>2130</v>
      </c>
      <c r="F54" s="6" t="s">
        <v>2132</v>
      </c>
      <c r="G54" s="11" t="s">
        <v>3214</v>
      </c>
      <c r="H54" s="1027">
        <v>44521</v>
      </c>
    </row>
    <row r="55" spans="2:8" hidden="1" outlineLevel="1">
      <c r="B55" s="9">
        <v>53</v>
      </c>
      <c r="C55" s="9" t="s">
        <v>875</v>
      </c>
      <c r="D55" s="10" t="s">
        <v>3216</v>
      </c>
      <c r="E55" s="6" t="s">
        <v>2130</v>
      </c>
      <c r="F55" s="6" t="s">
        <v>2132</v>
      </c>
      <c r="G55" s="11" t="s">
        <v>3214</v>
      </c>
      <c r="H55" s="1027">
        <v>44521</v>
      </c>
    </row>
    <row r="56" spans="2:8" hidden="1" outlineLevel="1">
      <c r="B56" s="9">
        <v>54</v>
      </c>
      <c r="C56" s="9" t="s">
        <v>875</v>
      </c>
      <c r="D56" s="10" t="s">
        <v>3217</v>
      </c>
      <c r="E56" s="6" t="s">
        <v>2130</v>
      </c>
      <c r="F56" s="6" t="s">
        <v>2132</v>
      </c>
      <c r="G56" s="11" t="s">
        <v>3214</v>
      </c>
      <c r="H56" s="1027">
        <v>44521</v>
      </c>
    </row>
    <row r="57" spans="2:8" ht="25.5" hidden="1" outlineLevel="1">
      <c r="B57" s="9">
        <v>55</v>
      </c>
      <c r="C57" s="1025" t="s">
        <v>749</v>
      </c>
      <c r="D57" s="1028" t="s">
        <v>3230</v>
      </c>
      <c r="E57" s="6" t="s">
        <v>2130</v>
      </c>
      <c r="F57" s="6" t="s">
        <v>2132</v>
      </c>
      <c r="G57" s="11" t="s">
        <v>3231</v>
      </c>
      <c r="H57" s="1027">
        <v>44528</v>
      </c>
    </row>
    <row r="58" spans="2:8" hidden="1" outlineLevel="1">
      <c r="B58" s="9">
        <v>56</v>
      </c>
      <c r="C58" s="1025"/>
      <c r="D58" s="1028" t="s">
        <v>3232</v>
      </c>
      <c r="E58" s="6" t="s">
        <v>2130</v>
      </c>
      <c r="F58" s="6" t="s">
        <v>2132</v>
      </c>
      <c r="G58" s="11" t="s">
        <v>3233</v>
      </c>
      <c r="H58" s="1027">
        <v>44528</v>
      </c>
    </row>
    <row r="59" spans="2:8" hidden="1" outlineLevel="1">
      <c r="B59" s="9">
        <v>57</v>
      </c>
      <c r="C59" s="1025"/>
      <c r="D59" s="10" t="s">
        <v>3273</v>
      </c>
      <c r="E59" s="6" t="s">
        <v>2130</v>
      </c>
      <c r="F59" s="6" t="s">
        <v>2132</v>
      </c>
      <c r="G59" s="11" t="s">
        <v>3272</v>
      </c>
      <c r="H59" s="1027">
        <v>44598</v>
      </c>
    </row>
    <row r="60" spans="2:8" hidden="1" outlineLevel="1">
      <c r="B60" s="9">
        <v>58</v>
      </c>
      <c r="C60" s="1025"/>
      <c r="D60" s="10" t="s">
        <v>3277</v>
      </c>
      <c r="E60" s="6" t="s">
        <v>2130</v>
      </c>
      <c r="F60" s="6" t="s">
        <v>2132</v>
      </c>
      <c r="G60" s="11" t="s">
        <v>3272</v>
      </c>
      <c r="H60" s="1027">
        <v>44598</v>
      </c>
    </row>
    <row r="61" spans="2:8" hidden="1" outlineLevel="1">
      <c r="B61" s="9">
        <v>59</v>
      </c>
      <c r="C61" s="1025"/>
      <c r="D61" s="10" t="s">
        <v>3278</v>
      </c>
      <c r="E61" s="6" t="s">
        <v>2130</v>
      </c>
      <c r="F61" s="6" t="s">
        <v>2132</v>
      </c>
      <c r="G61" s="11" t="s">
        <v>3272</v>
      </c>
      <c r="H61" s="1027">
        <v>44598</v>
      </c>
    </row>
    <row r="62" spans="2:8" hidden="1" outlineLevel="1">
      <c r="B62" s="9">
        <v>60</v>
      </c>
      <c r="C62" s="9"/>
      <c r="D62" s="10" t="s">
        <v>3281</v>
      </c>
      <c r="E62" s="6" t="s">
        <v>3280</v>
      </c>
      <c r="F62" s="6" t="s">
        <v>2132</v>
      </c>
      <c r="G62" s="1026" t="s">
        <v>3279</v>
      </c>
      <c r="H62" s="1027">
        <v>44600</v>
      </c>
    </row>
    <row r="63" spans="2:8" hidden="1" outlineLevel="1">
      <c r="B63" s="9">
        <v>61</v>
      </c>
      <c r="C63" s="9" t="s">
        <v>1045</v>
      </c>
      <c r="D63" s="10" t="s">
        <v>3282</v>
      </c>
      <c r="E63" s="6" t="s">
        <v>3280</v>
      </c>
      <c r="F63" s="6" t="s">
        <v>2132</v>
      </c>
      <c r="G63" s="1026" t="s">
        <v>3306</v>
      </c>
      <c r="H63" s="1027">
        <v>44631</v>
      </c>
    </row>
    <row r="64" spans="2:8" hidden="1" outlineLevel="1">
      <c r="B64" s="9">
        <v>62</v>
      </c>
      <c r="C64" s="1025"/>
      <c r="D64" s="10" t="s">
        <v>3307</v>
      </c>
      <c r="E64" s="6" t="s">
        <v>3280</v>
      </c>
      <c r="F64" s="6" t="s">
        <v>2132</v>
      </c>
      <c r="G64" s="1026" t="s">
        <v>3308</v>
      </c>
      <c r="H64" s="1027">
        <v>44672</v>
      </c>
    </row>
    <row r="65" spans="2:8" hidden="1" outlineLevel="1">
      <c r="B65" s="9">
        <v>63</v>
      </c>
      <c r="C65" s="1072"/>
      <c r="D65" s="1076" t="s">
        <v>3309</v>
      </c>
      <c r="E65" s="1073" t="s">
        <v>3310</v>
      </c>
      <c r="F65" s="1073" t="s">
        <v>2132</v>
      </c>
      <c r="G65" s="1073" t="s">
        <v>3308</v>
      </c>
      <c r="H65" s="1074">
        <v>44672</v>
      </c>
    </row>
    <row r="66" spans="2:8" hidden="1" outlineLevel="1">
      <c r="B66" s="9">
        <v>64</v>
      </c>
      <c r="C66" s="1072"/>
      <c r="D66" s="1076" t="s">
        <v>3328</v>
      </c>
      <c r="E66" s="6" t="s">
        <v>3280</v>
      </c>
      <c r="F66" s="6" t="s">
        <v>2132</v>
      </c>
      <c r="G66" s="1073" t="s">
        <v>3329</v>
      </c>
      <c r="H66" s="1074">
        <v>44705</v>
      </c>
    </row>
    <row r="67" spans="2:8" hidden="1" outlineLevel="1">
      <c r="B67" s="9">
        <v>65</v>
      </c>
      <c r="C67" s="9" t="s">
        <v>1376</v>
      </c>
      <c r="D67" s="10" t="s">
        <v>3338</v>
      </c>
      <c r="E67" s="6" t="s">
        <v>3280</v>
      </c>
      <c r="F67" s="6" t="s">
        <v>2132</v>
      </c>
      <c r="G67" s="6" t="s">
        <v>3353</v>
      </c>
      <c r="H67" s="12">
        <v>44714</v>
      </c>
    </row>
    <row r="68" spans="2:8" ht="25.5" hidden="1" outlineLevel="1">
      <c r="B68" s="9">
        <v>66</v>
      </c>
      <c r="C68" s="9" t="s">
        <v>58</v>
      </c>
      <c r="D68" s="10" t="s">
        <v>3339</v>
      </c>
      <c r="E68" s="6" t="s">
        <v>3280</v>
      </c>
      <c r="F68" s="6" t="s">
        <v>2132</v>
      </c>
      <c r="G68" s="6" t="s">
        <v>3353</v>
      </c>
      <c r="H68" s="12">
        <v>44714</v>
      </c>
    </row>
    <row r="69" spans="2:8" ht="38.25" hidden="1" outlineLevel="1">
      <c r="B69" s="9">
        <v>67</v>
      </c>
      <c r="C69" s="1072"/>
      <c r="D69" s="10" t="s">
        <v>3348</v>
      </c>
      <c r="E69" s="6" t="s">
        <v>3280</v>
      </c>
      <c r="F69" s="6" t="s">
        <v>2132</v>
      </c>
      <c r="G69" s="6" t="s">
        <v>3353</v>
      </c>
      <c r="H69" s="12">
        <v>44714</v>
      </c>
    </row>
    <row r="70" spans="2:8" hidden="1" outlineLevel="1">
      <c r="B70" s="9">
        <v>68</v>
      </c>
      <c r="C70" s="9" t="s">
        <v>749</v>
      </c>
      <c r="D70" s="10" t="s">
        <v>3347</v>
      </c>
      <c r="E70" s="6" t="s">
        <v>3280</v>
      </c>
      <c r="F70" s="6" t="s">
        <v>2132</v>
      </c>
      <c r="G70" s="6" t="s">
        <v>3353</v>
      </c>
      <c r="H70" s="12">
        <v>44719</v>
      </c>
    </row>
    <row r="71" spans="2:8" hidden="1" outlineLevel="1">
      <c r="B71" s="9">
        <v>69</v>
      </c>
      <c r="C71" s="9" t="s">
        <v>3354</v>
      </c>
      <c r="D71" s="10" t="s">
        <v>3347</v>
      </c>
      <c r="E71" s="6" t="s">
        <v>3280</v>
      </c>
      <c r="F71" s="6" t="s">
        <v>2132</v>
      </c>
      <c r="G71" s="6" t="s">
        <v>3353</v>
      </c>
      <c r="H71" s="12">
        <v>44719</v>
      </c>
    </row>
    <row r="72" spans="2:8" hidden="1" outlineLevel="1">
      <c r="B72" s="9">
        <v>70</v>
      </c>
      <c r="C72" s="9" t="s">
        <v>873</v>
      </c>
      <c r="D72" s="10" t="s">
        <v>3355</v>
      </c>
      <c r="E72" s="6" t="s">
        <v>3280</v>
      </c>
      <c r="F72" s="6" t="s">
        <v>2132</v>
      </c>
      <c r="G72" s="6" t="s">
        <v>3353</v>
      </c>
      <c r="H72" s="12">
        <v>44719</v>
      </c>
    </row>
    <row r="73" spans="2:8" hidden="1" outlineLevel="1">
      <c r="B73" s="9">
        <v>71</v>
      </c>
      <c r="C73" s="9" t="s">
        <v>3363</v>
      </c>
      <c r="D73" s="10" t="s">
        <v>3364</v>
      </c>
      <c r="E73" s="6" t="s">
        <v>3280</v>
      </c>
      <c r="F73" s="6" t="s">
        <v>2132</v>
      </c>
      <c r="G73" s="6" t="s">
        <v>3353</v>
      </c>
      <c r="H73" s="12">
        <v>44719</v>
      </c>
    </row>
    <row r="74" spans="2:8" ht="25.5" hidden="1" outlineLevel="1">
      <c r="B74" s="9">
        <v>72</v>
      </c>
      <c r="C74" s="1083"/>
      <c r="D74" s="1084" t="s">
        <v>3366</v>
      </c>
      <c r="E74" s="6" t="s">
        <v>3280</v>
      </c>
      <c r="F74" s="6" t="s">
        <v>2132</v>
      </c>
      <c r="G74" s="6" t="s">
        <v>3367</v>
      </c>
      <c r="H74" s="12">
        <v>44719</v>
      </c>
    </row>
    <row r="75" spans="2:8" hidden="1" outlineLevel="1">
      <c r="B75" s="9">
        <v>73</v>
      </c>
      <c r="C75" s="9" t="s">
        <v>3354</v>
      </c>
      <c r="D75" s="1084" t="s">
        <v>3373</v>
      </c>
      <c r="E75" s="6" t="s">
        <v>3280</v>
      </c>
      <c r="F75" s="6" t="s">
        <v>2132</v>
      </c>
      <c r="G75" s="6" t="s">
        <v>3375</v>
      </c>
      <c r="H75" s="1093">
        <v>44749</v>
      </c>
    </row>
    <row r="76" spans="2:8" hidden="1" outlineLevel="1">
      <c r="B76" s="9">
        <v>74</v>
      </c>
      <c r="C76" s="9" t="s">
        <v>749</v>
      </c>
      <c r="D76" s="1084" t="s">
        <v>3374</v>
      </c>
      <c r="E76" s="6" t="s">
        <v>3280</v>
      </c>
      <c r="F76" s="6" t="s">
        <v>2132</v>
      </c>
      <c r="G76" s="6" t="s">
        <v>3375</v>
      </c>
      <c r="H76" s="1093">
        <v>44749</v>
      </c>
    </row>
    <row r="77" spans="2:8" hidden="1" outlineLevel="1">
      <c r="B77" s="9">
        <v>75</v>
      </c>
      <c r="C77" s="9" t="s">
        <v>1376</v>
      </c>
      <c r="D77" s="10" t="s">
        <v>3376</v>
      </c>
      <c r="E77" s="6" t="s">
        <v>3280</v>
      </c>
      <c r="F77" s="6" t="s">
        <v>2132</v>
      </c>
      <c r="G77" s="6" t="s">
        <v>3375</v>
      </c>
      <c r="H77" s="1093">
        <v>44749</v>
      </c>
    </row>
    <row r="78" spans="2:8" ht="22.15" hidden="1" customHeight="1" outlineLevel="1">
      <c r="B78" s="9">
        <v>76</v>
      </c>
      <c r="C78" s="9" t="s">
        <v>749</v>
      </c>
      <c r="D78" s="10" t="s">
        <v>3378</v>
      </c>
      <c r="E78" s="6" t="s">
        <v>3280</v>
      </c>
      <c r="F78" s="6" t="s">
        <v>2132</v>
      </c>
      <c r="G78" s="6" t="s">
        <v>3375</v>
      </c>
      <c r="H78" s="1093">
        <v>44749</v>
      </c>
    </row>
    <row r="79" spans="2:8" hidden="1" outlineLevel="1">
      <c r="B79" s="9">
        <v>77</v>
      </c>
      <c r="C79" s="1083" t="s">
        <v>3383</v>
      </c>
      <c r="D79" s="1084" t="s">
        <v>3385</v>
      </c>
      <c r="E79" s="6" t="s">
        <v>3280</v>
      </c>
      <c r="F79" s="6" t="s">
        <v>2132</v>
      </c>
      <c r="G79" s="6" t="s">
        <v>3384</v>
      </c>
      <c r="H79" s="1093">
        <v>44749</v>
      </c>
    </row>
    <row r="80" spans="2:8" hidden="1" outlineLevel="1">
      <c r="B80" s="9">
        <v>78</v>
      </c>
      <c r="C80" s="1083" t="s">
        <v>3390</v>
      </c>
      <c r="D80" s="1084" t="s">
        <v>3307</v>
      </c>
      <c r="E80" s="6" t="s">
        <v>3280</v>
      </c>
      <c r="F80" s="6" t="s">
        <v>2132</v>
      </c>
      <c r="G80" s="6" t="s">
        <v>3391</v>
      </c>
      <c r="H80" s="1093">
        <v>44774</v>
      </c>
    </row>
    <row r="81" spans="2:8" hidden="1" outlineLevel="1">
      <c r="B81" s="9">
        <v>79</v>
      </c>
      <c r="C81" s="1083" t="s">
        <v>3396</v>
      </c>
      <c r="D81" s="1084" t="s">
        <v>3397</v>
      </c>
      <c r="E81" s="6" t="s">
        <v>3280</v>
      </c>
      <c r="F81" s="6" t="s">
        <v>2132</v>
      </c>
      <c r="G81" s="6" t="s">
        <v>3398</v>
      </c>
      <c r="H81" s="1093">
        <v>44774</v>
      </c>
    </row>
    <row r="82" spans="2:8" hidden="1" outlineLevel="1">
      <c r="B82" s="9">
        <v>80</v>
      </c>
      <c r="C82" s="1083" t="s">
        <v>3396</v>
      </c>
      <c r="D82" s="1084" t="s">
        <v>3403</v>
      </c>
      <c r="E82" s="6" t="s">
        <v>3280</v>
      </c>
      <c r="F82" s="6" t="s">
        <v>2132</v>
      </c>
      <c r="G82" s="6" t="s">
        <v>3404</v>
      </c>
      <c r="H82" s="1093">
        <v>44774</v>
      </c>
    </row>
    <row r="83" spans="2:8" hidden="1" outlineLevel="1">
      <c r="B83" s="9">
        <v>81</v>
      </c>
      <c r="C83" s="1083" t="s">
        <v>3363</v>
      </c>
      <c r="D83" s="1084" t="s">
        <v>3452</v>
      </c>
      <c r="E83" s="6" t="s">
        <v>3280</v>
      </c>
      <c r="F83" s="6" t="s">
        <v>2132</v>
      </c>
      <c r="G83" s="6" t="s">
        <v>3453</v>
      </c>
      <c r="H83" s="1093">
        <v>44790</v>
      </c>
    </row>
    <row r="84" spans="2:8" hidden="1" outlineLevel="1">
      <c r="B84" s="9">
        <v>82</v>
      </c>
      <c r="C84" s="1083" t="s">
        <v>3363</v>
      </c>
      <c r="D84" s="1084" t="s">
        <v>3454</v>
      </c>
      <c r="E84" s="1094" t="s">
        <v>3280</v>
      </c>
      <c r="F84" s="1094" t="s">
        <v>2132</v>
      </c>
      <c r="G84" s="1094" t="s">
        <v>3455</v>
      </c>
      <c r="H84" s="1093">
        <v>44854</v>
      </c>
    </row>
    <row r="85" spans="2:8" hidden="1" outlineLevel="1">
      <c r="B85" s="9">
        <v>83</v>
      </c>
      <c r="C85" s="1083" t="s">
        <v>3363</v>
      </c>
      <c r="D85" s="1084" t="s">
        <v>3561</v>
      </c>
      <c r="E85" s="1094" t="s">
        <v>3280</v>
      </c>
      <c r="F85" s="1094" t="s">
        <v>2132</v>
      </c>
      <c r="G85" s="1094" t="s">
        <v>3562</v>
      </c>
      <c r="H85" s="1093">
        <v>44882</v>
      </c>
    </row>
    <row r="86" spans="2:8" ht="51" hidden="1" outlineLevel="1">
      <c r="B86" s="9">
        <v>84</v>
      </c>
      <c r="C86" s="1083" t="s">
        <v>3566</v>
      </c>
      <c r="D86" s="1084" t="s">
        <v>3567</v>
      </c>
      <c r="E86" s="1094" t="s">
        <v>3280</v>
      </c>
      <c r="F86" s="1094" t="s">
        <v>2132</v>
      </c>
      <c r="G86" s="1094" t="s">
        <v>3562</v>
      </c>
      <c r="H86" s="1093">
        <v>44882</v>
      </c>
    </row>
    <row r="87" spans="2:8" hidden="1" outlineLevel="1">
      <c r="B87" s="9">
        <v>85</v>
      </c>
      <c r="C87" s="1083" t="s">
        <v>3396</v>
      </c>
      <c r="D87" s="1084" t="s">
        <v>3563</v>
      </c>
      <c r="E87" s="1094" t="s">
        <v>3280</v>
      </c>
      <c r="F87" s="1094" t="s">
        <v>2132</v>
      </c>
      <c r="G87" s="1094" t="s">
        <v>3562</v>
      </c>
      <c r="H87" s="1093">
        <v>44882</v>
      </c>
    </row>
    <row r="88" spans="2:8" ht="38.25" hidden="1" outlineLevel="1">
      <c r="B88" s="9">
        <v>86</v>
      </c>
      <c r="C88" s="1083" t="s">
        <v>3564</v>
      </c>
      <c r="D88" s="1084" t="s">
        <v>3565</v>
      </c>
      <c r="E88" s="1094" t="s">
        <v>3280</v>
      </c>
      <c r="F88" s="1094" t="s">
        <v>2132</v>
      </c>
      <c r="G88" s="1094" t="s">
        <v>3562</v>
      </c>
      <c r="H88" s="1093">
        <v>44882</v>
      </c>
    </row>
    <row r="89" spans="2:8" ht="25.5" hidden="1" outlineLevel="1">
      <c r="B89" s="9">
        <v>87</v>
      </c>
      <c r="C89" s="9" t="s">
        <v>3669</v>
      </c>
      <c r="D89" s="10" t="s">
        <v>3670</v>
      </c>
      <c r="E89" s="1094" t="s">
        <v>3280</v>
      </c>
      <c r="F89" s="1094" t="s">
        <v>2132</v>
      </c>
      <c r="G89" s="6" t="s">
        <v>3671</v>
      </c>
      <c r="H89" s="1093">
        <v>44883</v>
      </c>
    </row>
    <row r="90" spans="2:8" hidden="1" outlineLevel="1">
      <c r="B90" s="9">
        <v>88</v>
      </c>
      <c r="C90" s="1083" t="s">
        <v>3383</v>
      </c>
      <c r="D90" s="1084" t="s">
        <v>3680</v>
      </c>
      <c r="E90" s="1094" t="s">
        <v>3280</v>
      </c>
      <c r="F90" s="1094" t="s">
        <v>2132</v>
      </c>
      <c r="G90" s="6" t="s">
        <v>3681</v>
      </c>
      <c r="H90" s="1093">
        <v>44886</v>
      </c>
    </row>
    <row r="91" spans="2:8" hidden="1" outlineLevel="1">
      <c r="B91" s="9">
        <v>89</v>
      </c>
      <c r="C91" s="1083" t="s">
        <v>3396</v>
      </c>
      <c r="D91" s="1084" t="s">
        <v>3682</v>
      </c>
      <c r="E91" s="1094" t="s">
        <v>3280</v>
      </c>
      <c r="F91" s="1094" t="s">
        <v>2132</v>
      </c>
      <c r="G91" s="1094" t="s">
        <v>3681</v>
      </c>
      <c r="H91" s="1093">
        <v>44886</v>
      </c>
    </row>
    <row r="92" spans="2:8" hidden="1" outlineLevel="1">
      <c r="B92" s="9">
        <v>90</v>
      </c>
      <c r="C92" s="1083" t="s">
        <v>3705</v>
      </c>
      <c r="D92" s="1084" t="s">
        <v>3706</v>
      </c>
      <c r="E92" s="1094" t="s">
        <v>3280</v>
      </c>
      <c r="F92" s="1094" t="s">
        <v>2132</v>
      </c>
      <c r="G92" s="1094" t="s">
        <v>3681</v>
      </c>
      <c r="H92" s="1093">
        <v>44886</v>
      </c>
    </row>
    <row r="93" spans="2:8" ht="25.5" hidden="1" outlineLevel="1">
      <c r="B93" s="9">
        <v>91</v>
      </c>
      <c r="C93" s="1083" t="s">
        <v>3707</v>
      </c>
      <c r="D93" s="1084" t="s">
        <v>3708</v>
      </c>
      <c r="E93" s="1094" t="s">
        <v>3280</v>
      </c>
      <c r="F93" s="1094" t="s">
        <v>2132</v>
      </c>
      <c r="G93" s="1094" t="s">
        <v>3681</v>
      </c>
      <c r="H93" s="1093">
        <v>44886</v>
      </c>
    </row>
    <row r="94" spans="2:8" ht="25.5" hidden="1" outlineLevel="1">
      <c r="B94" s="9">
        <v>92</v>
      </c>
      <c r="C94" s="9" t="s">
        <v>1376</v>
      </c>
      <c r="D94" s="10" t="s">
        <v>3709</v>
      </c>
      <c r="E94" s="1094" t="s">
        <v>3280</v>
      </c>
      <c r="F94" s="1094" t="s">
        <v>2132</v>
      </c>
      <c r="G94" s="6" t="s">
        <v>3710</v>
      </c>
      <c r="H94" s="12">
        <v>44887</v>
      </c>
    </row>
    <row r="95" spans="2:8" hidden="1" outlineLevel="1">
      <c r="B95" s="9">
        <v>93</v>
      </c>
      <c r="C95" s="1096" t="s">
        <v>3396</v>
      </c>
      <c r="D95" s="1097" t="s">
        <v>3717</v>
      </c>
      <c r="E95" s="1094" t="s">
        <v>3280</v>
      </c>
      <c r="F95" s="1094" t="s">
        <v>2132</v>
      </c>
      <c r="G95" s="6" t="s">
        <v>3718</v>
      </c>
      <c r="H95" s="12">
        <v>44889</v>
      </c>
    </row>
    <row r="96" spans="2:8" hidden="1" outlineLevel="1">
      <c r="B96" s="9">
        <v>94</v>
      </c>
      <c r="C96" s="1100" t="s">
        <v>879</v>
      </c>
      <c r="D96" s="1101" t="s">
        <v>3725</v>
      </c>
      <c r="E96" s="1094" t="s">
        <v>3280</v>
      </c>
      <c r="F96" s="1094" t="s">
        <v>2132</v>
      </c>
      <c r="G96" s="6" t="s">
        <v>3726</v>
      </c>
      <c r="H96" s="1102">
        <v>44894</v>
      </c>
    </row>
    <row r="97" spans="2:8" hidden="1" outlineLevel="1">
      <c r="B97" s="9">
        <v>95</v>
      </c>
      <c r="C97" s="1100" t="s">
        <v>3727</v>
      </c>
      <c r="D97" s="1101" t="s">
        <v>3728</v>
      </c>
      <c r="E97" s="1094" t="s">
        <v>3280</v>
      </c>
      <c r="F97" s="1094" t="s">
        <v>2132</v>
      </c>
      <c r="G97" s="6" t="s">
        <v>3729</v>
      </c>
      <c r="H97" s="1102">
        <v>44896</v>
      </c>
    </row>
    <row r="98" spans="2:8" ht="25.5" hidden="1" outlineLevel="1">
      <c r="B98" s="9">
        <v>96</v>
      </c>
      <c r="C98" s="1100" t="s">
        <v>3730</v>
      </c>
      <c r="D98" s="1101" t="s">
        <v>3731</v>
      </c>
      <c r="E98" s="1103" t="s">
        <v>3280</v>
      </c>
      <c r="F98" s="1103" t="s">
        <v>2132</v>
      </c>
      <c r="G98" s="1103" t="s">
        <v>3729</v>
      </c>
      <c r="H98" s="1102">
        <v>44896</v>
      </c>
    </row>
    <row r="99" spans="2:8" hidden="1" outlineLevel="1">
      <c r="B99" s="9">
        <v>97</v>
      </c>
      <c r="C99" s="1100" t="s">
        <v>3732</v>
      </c>
      <c r="D99" s="1101" t="s">
        <v>3733</v>
      </c>
      <c r="E99" s="1103" t="s">
        <v>3280</v>
      </c>
      <c r="F99" s="1103" t="s">
        <v>2132</v>
      </c>
      <c r="G99" s="1103" t="s">
        <v>3729</v>
      </c>
      <c r="H99" s="1102">
        <v>44896</v>
      </c>
    </row>
    <row r="100" spans="2:8" ht="25.5" hidden="1" outlineLevel="1">
      <c r="B100" s="9">
        <v>98</v>
      </c>
      <c r="C100" s="1100" t="s">
        <v>58</v>
      </c>
      <c r="D100" s="1101" t="s">
        <v>3734</v>
      </c>
      <c r="E100" s="1103" t="s">
        <v>3280</v>
      </c>
      <c r="F100" s="1103" t="s">
        <v>2132</v>
      </c>
      <c r="G100" s="1103" t="s">
        <v>3729</v>
      </c>
      <c r="H100" s="1102">
        <v>44897</v>
      </c>
    </row>
    <row r="101" spans="2:8" ht="51" hidden="1" outlineLevel="1">
      <c r="B101" s="9">
        <v>99</v>
      </c>
      <c r="C101" s="9" t="s">
        <v>749</v>
      </c>
      <c r="D101" s="10" t="s">
        <v>3765</v>
      </c>
      <c r="E101" s="1103" t="s">
        <v>3280</v>
      </c>
      <c r="F101" s="1103" t="s">
        <v>2132</v>
      </c>
      <c r="G101" s="6" t="s">
        <v>3748</v>
      </c>
      <c r="H101" s="12">
        <v>44910</v>
      </c>
    </row>
    <row r="102" spans="2:8" hidden="1" outlineLevel="1">
      <c r="B102" s="9">
        <v>100</v>
      </c>
      <c r="C102" s="9" t="s">
        <v>3363</v>
      </c>
      <c r="D102" s="10" t="s">
        <v>3746</v>
      </c>
      <c r="E102" s="1103" t="s">
        <v>3280</v>
      </c>
      <c r="F102" s="1103" t="s">
        <v>2132</v>
      </c>
      <c r="G102" s="6" t="s">
        <v>3748</v>
      </c>
      <c r="H102" s="12">
        <v>44910</v>
      </c>
    </row>
    <row r="103" spans="2:8" ht="51" hidden="1" outlineLevel="1">
      <c r="B103" s="9">
        <v>101</v>
      </c>
      <c r="C103" s="9" t="s">
        <v>3354</v>
      </c>
      <c r="D103" s="10" t="s">
        <v>3765</v>
      </c>
      <c r="E103" s="1103" t="s">
        <v>3280</v>
      </c>
      <c r="F103" s="1103" t="s">
        <v>2132</v>
      </c>
      <c r="G103" s="6" t="s">
        <v>3748</v>
      </c>
      <c r="H103" s="12">
        <v>44910</v>
      </c>
    </row>
    <row r="104" spans="2:8" hidden="1" outlineLevel="1">
      <c r="B104" s="9">
        <v>102</v>
      </c>
      <c r="C104" s="1100"/>
      <c r="D104" s="1101" t="s">
        <v>3766</v>
      </c>
      <c r="E104" s="1103" t="s">
        <v>3280</v>
      </c>
      <c r="F104" s="1103" t="s">
        <v>2132</v>
      </c>
      <c r="G104" s="6" t="s">
        <v>3763</v>
      </c>
      <c r="H104" s="1102">
        <v>44911</v>
      </c>
    </row>
    <row r="105" spans="2:8" hidden="1" outlineLevel="1">
      <c r="B105" s="9">
        <v>103</v>
      </c>
      <c r="C105" s="9" t="s">
        <v>3566</v>
      </c>
      <c r="D105" s="10" t="s">
        <v>3775</v>
      </c>
      <c r="E105" s="1103" t="s">
        <v>3280</v>
      </c>
      <c r="F105" s="1103" t="s">
        <v>2132</v>
      </c>
      <c r="G105" s="6" t="s">
        <v>3777</v>
      </c>
      <c r="H105" s="1102">
        <v>44915</v>
      </c>
    </row>
    <row r="106" spans="2:8" hidden="1" outlineLevel="1">
      <c r="B106" s="9">
        <v>104</v>
      </c>
      <c r="C106" s="9" t="s">
        <v>3732</v>
      </c>
      <c r="D106" s="10" t="s">
        <v>3776</v>
      </c>
      <c r="E106" s="1103" t="s">
        <v>3280</v>
      </c>
      <c r="F106" s="1103" t="s">
        <v>2132</v>
      </c>
      <c r="G106" s="6" t="s">
        <v>3777</v>
      </c>
      <c r="H106" s="1102">
        <v>44915</v>
      </c>
    </row>
    <row r="107" spans="2:8" hidden="1" outlineLevel="1">
      <c r="B107" s="9">
        <v>105</v>
      </c>
      <c r="C107" s="9" t="s">
        <v>3730</v>
      </c>
      <c r="D107" s="10" t="s">
        <v>3778</v>
      </c>
      <c r="E107" s="1103" t="s">
        <v>3280</v>
      </c>
      <c r="F107" s="1103" t="s">
        <v>2132</v>
      </c>
      <c r="G107" s="6" t="s">
        <v>3777</v>
      </c>
      <c r="H107" s="1102">
        <v>44915</v>
      </c>
    </row>
    <row r="108" spans="2:8" hidden="1" outlineLevel="1">
      <c r="B108" s="9">
        <v>106</v>
      </c>
      <c r="C108" s="1100" t="s">
        <v>3780</v>
      </c>
      <c r="D108" s="1101" t="s">
        <v>3779</v>
      </c>
      <c r="E108" s="1103" t="s">
        <v>3280</v>
      </c>
      <c r="F108" s="1103" t="s">
        <v>2132</v>
      </c>
      <c r="G108" s="6" t="s">
        <v>3781</v>
      </c>
      <c r="H108" s="1102">
        <v>44915</v>
      </c>
    </row>
    <row r="109" spans="2:8" ht="38.25" hidden="1" outlineLevel="1">
      <c r="B109" s="9">
        <v>107</v>
      </c>
      <c r="C109" s="1100" t="s">
        <v>3383</v>
      </c>
      <c r="D109" s="1101" t="s">
        <v>3795</v>
      </c>
      <c r="E109" s="1103" t="s">
        <v>3280</v>
      </c>
      <c r="F109" s="1103" t="s">
        <v>2132</v>
      </c>
      <c r="G109" s="6" t="s">
        <v>3794</v>
      </c>
      <c r="H109" s="1102">
        <v>44917</v>
      </c>
    </row>
    <row r="110" spans="2:8" hidden="1" outlineLevel="1">
      <c r="B110" s="9">
        <v>108</v>
      </c>
      <c r="C110" s="1100" t="s">
        <v>3796</v>
      </c>
      <c r="D110" s="1101" t="s">
        <v>3797</v>
      </c>
      <c r="E110" s="1103" t="s">
        <v>3280</v>
      </c>
      <c r="F110" s="1103" t="s">
        <v>2132</v>
      </c>
      <c r="G110" s="6" t="s">
        <v>3794</v>
      </c>
      <c r="H110" s="1102">
        <v>44917</v>
      </c>
    </row>
    <row r="111" spans="2:8" hidden="1" outlineLevel="1">
      <c r="B111" s="9">
        <v>109</v>
      </c>
      <c r="C111" s="1100" t="s">
        <v>3815</v>
      </c>
      <c r="D111" s="1101" t="s">
        <v>3816</v>
      </c>
      <c r="E111" s="1103" t="s">
        <v>3280</v>
      </c>
      <c r="F111" s="1103" t="s">
        <v>2132</v>
      </c>
      <c r="G111" s="6" t="s">
        <v>3802</v>
      </c>
      <c r="H111" s="1102">
        <v>44934</v>
      </c>
    </row>
    <row r="112" spans="2:8" hidden="1" outlineLevel="1">
      <c r="B112" s="9">
        <v>110</v>
      </c>
      <c r="C112" s="1100" t="s">
        <v>3396</v>
      </c>
      <c r="D112" s="1101" t="s">
        <v>3747</v>
      </c>
      <c r="E112" s="1103" t="s">
        <v>3280</v>
      </c>
      <c r="F112" s="1105" t="s">
        <v>3749</v>
      </c>
      <c r="G112" s="1103"/>
      <c r="H112" s="1103"/>
    </row>
    <row r="113" spans="2:8" ht="25.5" hidden="1" outlineLevel="1">
      <c r="B113" s="9">
        <v>111</v>
      </c>
      <c r="C113" s="1100" t="s">
        <v>3818</v>
      </c>
      <c r="D113" s="1101" t="s">
        <v>3819</v>
      </c>
      <c r="E113" s="1103" t="s">
        <v>3280</v>
      </c>
      <c r="F113" s="1103" t="s">
        <v>2132</v>
      </c>
      <c r="G113" s="6" t="s">
        <v>3820</v>
      </c>
      <c r="H113" s="1102">
        <v>44945</v>
      </c>
    </row>
    <row r="114" spans="2:8" ht="25.5" hidden="1" outlineLevel="1">
      <c r="B114" s="9">
        <v>112</v>
      </c>
      <c r="C114" s="9" t="s">
        <v>58</v>
      </c>
      <c r="D114" s="10" t="s">
        <v>3821</v>
      </c>
      <c r="E114" s="1103" t="s">
        <v>3280</v>
      </c>
      <c r="F114" s="1103" t="s">
        <v>2132</v>
      </c>
      <c r="G114" s="6" t="s">
        <v>3822</v>
      </c>
      <c r="H114" s="1102">
        <v>44957</v>
      </c>
    </row>
    <row r="115" spans="2:8" hidden="1" outlineLevel="1">
      <c r="B115" s="9">
        <v>113</v>
      </c>
      <c r="C115" s="1106" t="s">
        <v>1376</v>
      </c>
      <c r="D115" s="1109" t="s">
        <v>3823</v>
      </c>
      <c r="E115" s="1107" t="s">
        <v>2130</v>
      </c>
      <c r="F115" s="1107" t="s">
        <v>2132</v>
      </c>
      <c r="G115" s="1107" t="s">
        <v>3822</v>
      </c>
      <c r="H115" s="1108">
        <v>44958</v>
      </c>
    </row>
    <row r="116" spans="2:8" ht="25.5" hidden="1" outlineLevel="1">
      <c r="B116" s="9">
        <v>114</v>
      </c>
      <c r="C116" s="9" t="s">
        <v>58</v>
      </c>
      <c r="D116" s="10" t="s">
        <v>3824</v>
      </c>
      <c r="E116" s="6" t="s">
        <v>3280</v>
      </c>
      <c r="F116" s="6" t="s">
        <v>2132</v>
      </c>
      <c r="G116" s="6" t="s">
        <v>3825</v>
      </c>
      <c r="H116" s="12">
        <v>44971</v>
      </c>
    </row>
    <row r="117" spans="2:8" hidden="1" outlineLevel="1">
      <c r="B117" s="9">
        <v>115</v>
      </c>
      <c r="C117" s="1110" t="s">
        <v>3727</v>
      </c>
      <c r="D117" s="1111" t="s">
        <v>3826</v>
      </c>
      <c r="E117" s="1113" t="s">
        <v>3280</v>
      </c>
      <c r="F117" s="1113" t="s">
        <v>2132</v>
      </c>
      <c r="G117" s="1113" t="s">
        <v>3825</v>
      </c>
      <c r="H117" s="1112">
        <v>44972</v>
      </c>
    </row>
    <row r="118" spans="2:8" ht="25.5" hidden="1" outlineLevel="1">
      <c r="B118" s="9">
        <v>116</v>
      </c>
      <c r="C118" s="1106" t="s">
        <v>1376</v>
      </c>
      <c r="D118" s="10" t="s">
        <v>3828</v>
      </c>
      <c r="E118" s="1107" t="s">
        <v>2130</v>
      </c>
      <c r="F118" s="1107" t="s">
        <v>2132</v>
      </c>
      <c r="G118" s="6" t="s">
        <v>3827</v>
      </c>
      <c r="H118" s="1108">
        <v>44976</v>
      </c>
    </row>
    <row r="119" spans="2:8" hidden="1" outlineLevel="1">
      <c r="B119" s="9">
        <v>117</v>
      </c>
      <c r="C119" s="1106"/>
      <c r="D119" s="10" t="s">
        <v>3829</v>
      </c>
      <c r="E119" s="1107" t="s">
        <v>2130</v>
      </c>
      <c r="F119" s="1107" t="s">
        <v>2132</v>
      </c>
      <c r="G119" s="6" t="s">
        <v>3827</v>
      </c>
      <c r="H119" s="1108">
        <v>44982</v>
      </c>
    </row>
    <row r="120" spans="2:8" ht="25.5" hidden="1" outlineLevel="1">
      <c r="B120" s="9">
        <v>118</v>
      </c>
      <c r="C120" s="1110"/>
      <c r="D120" s="1111" t="s">
        <v>3831</v>
      </c>
      <c r="E120" s="1107" t="s">
        <v>2130</v>
      </c>
      <c r="F120" s="1107" t="s">
        <v>2132</v>
      </c>
      <c r="G120" s="6" t="s">
        <v>3827</v>
      </c>
      <c r="H120" s="1108">
        <v>44984</v>
      </c>
    </row>
    <row r="121" spans="2:8" ht="25.5" hidden="1" outlineLevel="1">
      <c r="B121" s="9">
        <v>119</v>
      </c>
      <c r="C121" s="1110" t="s">
        <v>749</v>
      </c>
      <c r="D121" s="1111" t="s">
        <v>3830</v>
      </c>
      <c r="E121" s="1107" t="s">
        <v>2130</v>
      </c>
      <c r="F121" s="1107" t="s">
        <v>2132</v>
      </c>
      <c r="G121" s="6" t="s">
        <v>3827</v>
      </c>
      <c r="H121" s="1108">
        <v>44984</v>
      </c>
    </row>
    <row r="122" spans="2:8" hidden="1" outlineLevel="1">
      <c r="B122" s="9">
        <v>120</v>
      </c>
      <c r="C122" s="9"/>
      <c r="D122" s="10" t="s">
        <v>3832</v>
      </c>
      <c r="E122" s="1107" t="s">
        <v>2130</v>
      </c>
      <c r="F122" s="1107" t="s">
        <v>2132</v>
      </c>
      <c r="G122" s="6" t="s">
        <v>3827</v>
      </c>
      <c r="H122" s="12">
        <v>44985</v>
      </c>
    </row>
    <row r="123" spans="2:8" hidden="1" outlineLevel="1">
      <c r="B123" s="9">
        <v>121</v>
      </c>
      <c r="C123" s="1110"/>
      <c r="D123" s="1111" t="s">
        <v>3833</v>
      </c>
      <c r="E123" s="1107" t="s">
        <v>2130</v>
      </c>
      <c r="F123" s="1107" t="s">
        <v>2132</v>
      </c>
      <c r="G123" s="6" t="s">
        <v>3827</v>
      </c>
      <c r="H123" s="12">
        <v>44997</v>
      </c>
    </row>
    <row r="124" spans="2:8" hidden="1" outlineLevel="1">
      <c r="B124" s="9">
        <v>122</v>
      </c>
      <c r="C124" s="1110"/>
      <c r="D124" s="1111" t="s">
        <v>3834</v>
      </c>
      <c r="E124" s="1107" t="s">
        <v>2130</v>
      </c>
      <c r="F124" s="1107" t="s">
        <v>2132</v>
      </c>
      <c r="G124" s="6" t="s">
        <v>3827</v>
      </c>
      <c r="H124" s="1112">
        <v>45011</v>
      </c>
    </row>
    <row r="125" spans="2:8" hidden="1" outlineLevel="1">
      <c r="B125" s="9">
        <v>123</v>
      </c>
      <c r="C125" s="1110"/>
      <c r="D125" s="1128" t="s">
        <v>3853</v>
      </c>
      <c r="E125" s="1107" t="s">
        <v>2130</v>
      </c>
      <c r="F125" s="1107" t="s">
        <v>2132</v>
      </c>
      <c r="G125" s="6" t="s">
        <v>3852</v>
      </c>
      <c r="H125" s="1112">
        <v>45028</v>
      </c>
    </row>
    <row r="126" spans="2:8" ht="25.5" hidden="1" outlineLevel="1">
      <c r="B126" s="9">
        <v>124</v>
      </c>
      <c r="C126" s="1110" t="s">
        <v>749</v>
      </c>
      <c r="D126" s="10" t="s">
        <v>3878</v>
      </c>
      <c r="E126" s="1107" t="s">
        <v>2130</v>
      </c>
      <c r="F126" s="1107" t="s">
        <v>2132</v>
      </c>
      <c r="G126" s="6" t="s">
        <v>3852</v>
      </c>
      <c r="H126" s="1112">
        <v>45028</v>
      </c>
    </row>
    <row r="127" spans="2:8" ht="38.25">
      <c r="B127" s="9">
        <v>125</v>
      </c>
      <c r="C127" s="9"/>
      <c r="D127" s="10" t="s">
        <v>3877</v>
      </c>
      <c r="E127" s="1107" t="s">
        <v>2130</v>
      </c>
      <c r="F127" s="1107" t="s">
        <v>2132</v>
      </c>
      <c r="G127" s="6" t="s">
        <v>3852</v>
      </c>
      <c r="H127" s="12">
        <v>45040</v>
      </c>
    </row>
    <row r="128" spans="2:8" ht="25.5">
      <c r="B128" s="9">
        <v>126</v>
      </c>
      <c r="C128" s="1110"/>
      <c r="D128" s="1111" t="s">
        <v>3879</v>
      </c>
      <c r="E128" s="1107" t="s">
        <v>2130</v>
      </c>
      <c r="F128" s="1107" t="s">
        <v>2132</v>
      </c>
      <c r="G128" s="6" t="s">
        <v>3852</v>
      </c>
      <c r="H128" s="12">
        <v>45040</v>
      </c>
    </row>
    <row r="129" spans="2:8" ht="25.5">
      <c r="B129" s="9">
        <v>127</v>
      </c>
      <c r="C129" s="9"/>
      <c r="D129" s="10" t="s">
        <v>3883</v>
      </c>
      <c r="E129" s="1107" t="s">
        <v>2130</v>
      </c>
      <c r="F129" s="1107" t="s">
        <v>2132</v>
      </c>
      <c r="G129" s="6" t="s">
        <v>3852</v>
      </c>
      <c r="H129" s="12">
        <v>45067</v>
      </c>
    </row>
    <row r="130" spans="2:8" ht="25.5">
      <c r="B130" s="9">
        <v>128</v>
      </c>
      <c r="C130" s="9"/>
      <c r="D130" s="10" t="s">
        <v>3884</v>
      </c>
      <c r="E130" s="1107" t="s">
        <v>2130</v>
      </c>
      <c r="F130" s="1107" t="s">
        <v>2132</v>
      </c>
      <c r="G130" s="6" t="s">
        <v>3852</v>
      </c>
      <c r="H130" s="12">
        <v>45067</v>
      </c>
    </row>
    <row r="131" spans="2:8">
      <c r="B131" s="9">
        <v>129</v>
      </c>
      <c r="C131" s="1110" t="s">
        <v>58</v>
      </c>
      <c r="D131" s="1111" t="s">
        <v>3920</v>
      </c>
      <c r="E131" s="1113" t="s">
        <v>3921</v>
      </c>
      <c r="F131" s="1113" t="s">
        <v>2132</v>
      </c>
      <c r="G131" s="6" t="s">
        <v>3925</v>
      </c>
      <c r="H131" s="1112">
        <v>45174</v>
      </c>
    </row>
    <row r="132" spans="2:8">
      <c r="B132" s="9">
        <v>130</v>
      </c>
      <c r="C132" s="1110" t="s">
        <v>58</v>
      </c>
      <c r="D132" s="1111" t="s">
        <v>3924</v>
      </c>
      <c r="E132" s="1107" t="s">
        <v>2130</v>
      </c>
      <c r="F132" s="1113" t="s">
        <v>2132</v>
      </c>
      <c r="G132" s="6" t="s">
        <v>3925</v>
      </c>
      <c r="H132" s="1112">
        <v>45192</v>
      </c>
    </row>
    <row r="133" spans="2:8">
      <c r="B133" s="9">
        <v>131</v>
      </c>
      <c r="C133" s="1110" t="s">
        <v>3980</v>
      </c>
      <c r="D133" s="1139" t="s">
        <v>3981</v>
      </c>
      <c r="E133" s="1113" t="s">
        <v>3982</v>
      </c>
      <c r="F133" s="1113" t="s">
        <v>2132</v>
      </c>
      <c r="G133" s="6" t="s">
        <v>3925</v>
      </c>
      <c r="H133" s="1112">
        <v>45197</v>
      </c>
    </row>
    <row r="134" spans="2:8">
      <c r="B134" s="1110"/>
      <c r="C134" s="1110"/>
      <c r="D134" s="1111"/>
      <c r="E134" s="1107"/>
      <c r="F134" s="1113"/>
      <c r="G134" s="6"/>
      <c r="H134" s="1112"/>
    </row>
  </sheetData>
  <phoneticPr fontId="36" type="noConversion"/>
  <dataValidations count="1">
    <dataValidation type="list" allowBlank="1" showInputMessage="1" showErrorMessage="1" sqref="F3:F134" xr:uid="{BF03D0AD-C43A-482C-BCAC-0B702474CB27}">
      <formula1>"abgeschlossen,offen"</formula1>
    </dataValidation>
  </dataValidations>
  <pageMargins left="0.7" right="0.7" top="0.78740157499999996" bottom="0.78740157499999996"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BOM">
    <outlinePr summaryRight="0"/>
    <pageSetUpPr fitToPage="1"/>
  </sheetPr>
  <dimension ref="A1:EG8"/>
  <sheetViews>
    <sheetView showGridLines="0" zoomScaleNormal="100" workbookViewId="0">
      <pane ySplit="3" topLeftCell="A4" activePane="bottomLeft" state="frozen"/>
      <selection activeCell="D355" sqref="D355"/>
      <selection pane="bottomLeft" activeCell="D18" sqref="D18"/>
    </sheetView>
  </sheetViews>
  <sheetFormatPr baseColWidth="10" defaultColWidth="8.7109375" defaultRowHeight="12.75" outlineLevelCol="1"/>
  <cols>
    <col min="1" max="1" width="30.7109375" style="34" hidden="1" customWidth="1"/>
    <col min="2" max="2" width="14.140625" style="5" bestFit="1" customWidth="1"/>
    <col min="3" max="3" width="2.7109375" style="4" customWidth="1"/>
    <col min="4" max="4" width="30.7109375" style="5" customWidth="1"/>
    <col min="5" max="5" width="20.7109375" style="4" customWidth="1"/>
    <col min="6" max="6" width="6.7109375" style="4" customWidth="1"/>
    <col min="7" max="7" width="6.7109375" style="41" customWidth="1"/>
    <col min="8" max="10" width="6.7109375" style="4" customWidth="1"/>
    <col min="11" max="11" width="6.7109375" style="42" customWidth="1"/>
    <col min="12" max="12" width="30.7109375" style="4" hidden="1" customWidth="1"/>
    <col min="13" max="13" width="6.7109375" style="4" customWidth="1"/>
    <col min="14" max="14" width="6.7109375" style="43" customWidth="1"/>
    <col min="15" max="16" width="6.7109375" style="4" customWidth="1"/>
    <col min="17" max="17" width="30.7109375" style="5" customWidth="1" collapsed="1"/>
    <col min="18" max="18" width="20.7109375" style="2" hidden="1" customWidth="1" outlineLevel="1"/>
    <col min="19" max="19" width="2.7109375" style="5" customWidth="1"/>
    <col min="20" max="16384" width="8.7109375" style="5"/>
  </cols>
  <sheetData>
    <row r="1" spans="1:137" s="13" customFormat="1" ht="12.75" customHeight="1">
      <c r="A1" s="15"/>
      <c r="B1" s="899"/>
      <c r="C1" s="896"/>
      <c r="D1" s="899"/>
      <c r="E1" s="899"/>
      <c r="F1" s="899"/>
      <c r="G1" s="16" t="s">
        <v>902</v>
      </c>
      <c r="H1" s="1260" t="s">
        <v>901</v>
      </c>
      <c r="I1" s="1260"/>
      <c r="J1" s="1260"/>
      <c r="K1" s="1260"/>
      <c r="L1" s="903"/>
      <c r="M1" s="901"/>
      <c r="N1" s="1260" t="s">
        <v>2079</v>
      </c>
      <c r="O1" s="1260"/>
      <c r="P1" s="905"/>
      <c r="Q1" s="899"/>
      <c r="R1" s="899"/>
    </row>
    <row r="2" spans="1:137" s="19" customFormat="1" ht="12.75" customHeight="1">
      <c r="A2" s="17"/>
      <c r="B2" s="900" t="s">
        <v>76</v>
      </c>
      <c r="C2" s="940" t="s">
        <v>131</v>
      </c>
      <c r="D2" s="900" t="s">
        <v>69</v>
      </c>
      <c r="E2" s="900" t="s">
        <v>34</v>
      </c>
      <c r="F2" s="900" t="s">
        <v>78</v>
      </c>
      <c r="G2" s="907" t="s">
        <v>899</v>
      </c>
      <c r="H2" s="410" t="s">
        <v>38</v>
      </c>
      <c r="I2" s="410" t="s">
        <v>121</v>
      </c>
      <c r="J2" s="410" t="s">
        <v>122</v>
      </c>
      <c r="K2" s="908" t="s">
        <v>183</v>
      </c>
      <c r="L2" s="904" t="s">
        <v>141</v>
      </c>
      <c r="M2" s="902" t="s">
        <v>138</v>
      </c>
      <c r="N2" s="18" t="s">
        <v>78</v>
      </c>
      <c r="O2" s="410" t="s">
        <v>902</v>
      </c>
      <c r="P2" s="906" t="s">
        <v>133</v>
      </c>
      <c r="Q2" s="900" t="s">
        <v>171</v>
      </c>
      <c r="R2" s="900" t="s">
        <v>669</v>
      </c>
    </row>
    <row r="3" spans="1:137" s="31" customFormat="1" ht="13.5">
      <c r="A3" s="20" t="str">
        <f>CONCATENATE(B3&amp;" "&amp;D3)</f>
        <v>01 Apollo High PCB UI</v>
      </c>
      <c r="B3" s="1042" t="s">
        <v>4066</v>
      </c>
      <c r="C3" s="21">
        <v>1</v>
      </c>
      <c r="D3" s="22" t="s">
        <v>4033</v>
      </c>
      <c r="E3" s="23"/>
      <c r="F3" s="24">
        <v>1</v>
      </c>
      <c r="G3" s="1138"/>
      <c r="H3" s="24"/>
      <c r="I3" s="24"/>
      <c r="J3" s="24"/>
      <c r="K3" s="24"/>
      <c r="L3" s="24"/>
      <c r="M3" s="413">
        <v>1</v>
      </c>
      <c r="N3" s="26">
        <f>F3</f>
        <v>1</v>
      </c>
      <c r="O3" s="414">
        <f>SUMIF($C:$C,2,$O:$O)</f>
        <v>0</v>
      </c>
      <c r="P3" s="27">
        <f>SUMIF($C:$C,2,$F:$F)</f>
        <v>1</v>
      </c>
      <c r="Q3" s="28"/>
      <c r="R3" s="29"/>
      <c r="S3" s="30"/>
      <c r="BW3" s="32"/>
      <c r="BX3" s="32"/>
      <c r="BY3" s="32"/>
      <c r="CR3" s="415"/>
      <c r="CS3" s="415"/>
      <c r="ED3" s="416"/>
      <c r="EE3" s="416"/>
      <c r="EF3" s="416"/>
      <c r="EG3" s="416"/>
    </row>
    <row r="4" spans="1:137" s="34" customFormat="1">
      <c r="A4" s="864" t="str">
        <f t="shared" ref="A4:A8" si="0">CONCATENATE(B4&amp;" "&amp;D4)</f>
        <v>01-01 PCB UI</v>
      </c>
      <c r="B4" s="1143" t="s">
        <v>4067</v>
      </c>
      <c r="C4" s="866">
        <v>2</v>
      </c>
      <c r="D4" s="867" t="s">
        <v>4034</v>
      </c>
      <c r="E4" s="866"/>
      <c r="F4" s="1142">
        <v>1</v>
      </c>
      <c r="G4" s="869"/>
      <c r="H4" s="868"/>
      <c r="I4" s="868"/>
      <c r="J4" s="868"/>
      <c r="K4" s="870"/>
      <c r="L4" s="871"/>
      <c r="M4" s="875">
        <v>1</v>
      </c>
      <c r="N4" s="872" cm="1">
        <f t="array" ref="N4">F4*LOOKUP(100,1/($C$1:INDEX($C:$C,ROW()-1)=$C4-1),$N$1:INDEX($N:$N,ROW()-1))</f>
        <v>1</v>
      </c>
      <c r="O4" s="873" cm="1">
        <f t="array" ref="O4">IFERROR(IF(INDEX($C:$C,ROW()+1)=$C4+1,SUMIF(INDEX($C:$C,ROW()+1):INDEX($C:$C,IFERROR(ROW()+MATCH($C4,INDEX($C:$C,ROW()+1):INDEX($C:$C,MAX(ROW(BOM))),0)-1,MAX(ROW(BOM)))),$C4+1,INDEX($O:$O,ROW()+1):INDEX($O:$O,IFERROR(ROW()+MATCH($C4,INDEX($C:$C,ROW()+1):INDEX($C:$C,MAX(ROW(BOM))),0)-1,MAX(ROW(BOM))))),$N4*$G4),0)</f>
        <v>0</v>
      </c>
      <c r="P4" s="874" cm="1">
        <f t="array" ref="P4">IFERROR(SUMIF(INDEX($C:$C,ROW()+1):INDEX($C:$C,IFERROR(ROW()+MATCH($C4,INDEX($C:$C,ROW()+1):INDEX($C:$C,MAX(ROW(BOM))),0)-1,MAX(ROW(BOM)))),$C4+1,INDEX($F:$F,ROW()+1):INDEX($F:$F,IFERROR(ROW()+MATCH($C4,INDEX($C:$C,ROW()+1):INDEX($C:$C,MAX(ROW(BOM))),0)-1,MAX(ROW(BOM))))),0)</f>
        <v>4</v>
      </c>
      <c r="Q4" s="867"/>
      <c r="R4" s="793"/>
      <c r="S4" s="33"/>
      <c r="CR4" s="35"/>
      <c r="CS4" s="35"/>
      <c r="EC4" s="783"/>
      <c r="ED4" s="36"/>
      <c r="EE4" s="36"/>
      <c r="EF4" s="36"/>
    </row>
    <row r="5" spans="1:137" s="38" customFormat="1" ht="13.5">
      <c r="A5" s="810" t="str">
        <f t="shared" si="0"/>
        <v>01-01-01 PCB Main UI</v>
      </c>
      <c r="B5" s="823" t="s">
        <v>4068</v>
      </c>
      <c r="C5" s="812">
        <v>3</v>
      </c>
      <c r="D5" s="813" t="s">
        <v>4035</v>
      </c>
      <c r="E5" s="812"/>
      <c r="F5" s="814">
        <v>1</v>
      </c>
      <c r="G5" s="815"/>
      <c r="H5" s="814"/>
      <c r="I5" s="814"/>
      <c r="J5" s="814"/>
      <c r="K5" s="816"/>
      <c r="L5" s="817"/>
      <c r="M5" s="818">
        <v>1</v>
      </c>
      <c r="N5" s="819" cm="1">
        <f t="array" ref="N5">F5*LOOKUP(100,1/($C$1:INDEX($C:$C,ROW()-1)=$C5-1),$N$1:INDEX($N:$N,ROW()-1))</f>
        <v>1</v>
      </c>
      <c r="O5" s="820" cm="1">
        <f t="array" ref="O5">IFERROR(IF(INDEX($C:$C,ROW()+1)=$C5+1,SUMIF(INDEX($C:$C,ROW()+1):INDEX($C:$C,IFERROR(ROW()+MATCH($C5,INDEX($C:$C,ROW()+1):INDEX($C:$C,MAX(ROW(BOM))),0)-1,MAX(ROW(BOM)))),$C5+1,INDEX($O:$O,ROW()+1):INDEX($O:$O,IFERROR(ROW()+MATCH($C5,INDEX($C:$C,ROW()+1):INDEX($C:$C,MAX(ROW(BOM))),0)-1,MAX(ROW(BOM))))),$N5*$G5),0)</f>
        <v>0</v>
      </c>
      <c r="P5" s="821" cm="1">
        <f t="array" ref="P5">IFERROR(SUMIF(INDEX($C:$C,ROW()+1):INDEX($C:$C,IFERROR(ROW()+MATCH($C5,INDEX($C:$C,ROW()+1):INDEX($C:$C,MAX(ROW(BOM))),0)-1,MAX(ROW(BOM)))),$C5+1,INDEX($F:$F,ROW()+1):INDEX($F:$F,IFERROR(ROW()+MATCH($C5,INDEX($C:$C,ROW()+1):INDEX($C:$C,MAX(ROW(BOM))),0)-1,MAX(ROW(BOM))))),0)</f>
        <v>0</v>
      </c>
      <c r="Q5" s="811"/>
      <c r="R5" s="824"/>
      <c r="S5" s="37"/>
      <c r="CR5" s="39"/>
      <c r="CS5" s="39"/>
      <c r="EC5" s="783"/>
      <c r="ED5" s="40"/>
      <c r="EE5" s="40"/>
      <c r="EF5" s="40"/>
    </row>
    <row r="6" spans="1:137" s="38" customFormat="1" ht="13.5">
      <c r="A6" s="810" t="str">
        <f t="shared" si="0"/>
        <v>01-01-02 PCB UI</v>
      </c>
      <c r="B6" s="823" t="s">
        <v>4069</v>
      </c>
      <c r="C6" s="812">
        <v>3</v>
      </c>
      <c r="D6" s="813" t="s">
        <v>4034</v>
      </c>
      <c r="E6" s="812"/>
      <c r="F6" s="814">
        <v>1</v>
      </c>
      <c r="G6" s="815"/>
      <c r="H6" s="814"/>
      <c r="I6" s="814"/>
      <c r="J6" s="814"/>
      <c r="K6" s="816"/>
      <c r="L6" s="817"/>
      <c r="M6" s="818">
        <v>1</v>
      </c>
      <c r="N6" s="819" cm="1">
        <f t="array" ref="N6">F6*LOOKUP(100,1/($C$1:INDEX($C:$C,ROW()-1)=$C6-1),$N$1:INDEX($N:$N,ROW()-1))</f>
        <v>1</v>
      </c>
      <c r="O6" s="820" cm="1">
        <f t="array" ref="O6">IFERROR(IF(INDEX($C:$C,ROW()+1)=$C6+1,SUMIF(INDEX($C:$C,ROW()+1):INDEX($C:$C,IFERROR(ROW()+MATCH($C6,INDEX($C:$C,ROW()+1):INDEX($C:$C,MAX(ROW(BOM))),0)-1,MAX(ROW(BOM)))),$C6+1,INDEX($O:$O,ROW()+1):INDEX($O:$O,IFERROR(ROW()+MATCH($C6,INDEX($C:$C,ROW()+1):INDEX($C:$C,MAX(ROW(BOM))),0)-1,MAX(ROW(BOM))))),$N6*$G6),0)</f>
        <v>0</v>
      </c>
      <c r="P6" s="821" cm="1">
        <f t="array" ref="P6">IFERROR(SUMIF(INDEX($C:$C,ROW()+1):INDEX($C:$C,IFERROR(ROW()+MATCH($C6,INDEX($C:$C,ROW()+1):INDEX($C:$C,MAX(ROW(BOM))),0)-1,MAX(ROW(BOM)))),$C6+1,INDEX($F:$F,ROW()+1):INDEX($F:$F,IFERROR(ROW()+MATCH($C6,INDEX($C:$C,ROW()+1):INDEX($C:$C,MAX(ROW(BOM))),0)-1,MAX(ROW(BOM))))),0)</f>
        <v>0</v>
      </c>
      <c r="Q6" s="811"/>
      <c r="R6" s="824"/>
      <c r="S6" s="37"/>
      <c r="CR6" s="39"/>
      <c r="CS6" s="39"/>
      <c r="EC6" s="783"/>
      <c r="ED6" s="40"/>
      <c r="EE6" s="40"/>
      <c r="EF6" s="40"/>
    </row>
    <row r="7" spans="1:137" s="38" customFormat="1" ht="13.5">
      <c r="A7" s="810" t="str">
        <f t="shared" si="0"/>
        <v>01-01-03 PCB UI Middle</v>
      </c>
      <c r="B7" s="823" t="s">
        <v>4070</v>
      </c>
      <c r="C7" s="812">
        <v>3</v>
      </c>
      <c r="D7" s="813" t="s">
        <v>4064</v>
      </c>
      <c r="E7" s="812"/>
      <c r="F7" s="814">
        <v>1</v>
      </c>
      <c r="G7" s="815"/>
      <c r="H7" s="814"/>
      <c r="I7" s="814"/>
      <c r="J7" s="814"/>
      <c r="K7" s="816"/>
      <c r="L7" s="817"/>
      <c r="M7" s="818">
        <v>1</v>
      </c>
      <c r="N7" s="819" cm="1">
        <f t="array" ref="N7">F7*LOOKUP(100,1/($C$1:INDEX($C:$C,ROW()-1)=$C7-1),$N$1:INDEX($N:$N,ROW()-1))</f>
        <v>1</v>
      </c>
      <c r="O7" s="820" cm="1">
        <f t="array" ref="O7">IFERROR(IF(INDEX($C:$C,ROW()+1)=$C7+1,SUMIF(INDEX($C:$C,ROW()+1):INDEX($C:$C,IFERROR(ROW()+MATCH($C7,INDEX($C:$C,ROW()+1):INDEX($C:$C,MAX(ROW(BOM))),0)-1,MAX(ROW(BOM)))),$C7+1,INDEX($O:$O,ROW()+1):INDEX($O:$O,IFERROR(ROW()+MATCH($C7,INDEX($C:$C,ROW()+1):INDEX($C:$C,MAX(ROW(BOM))),0)-1,MAX(ROW(BOM))))),$N7*$G7),0)</f>
        <v>0</v>
      </c>
      <c r="P7" s="821" cm="1">
        <f t="array" ref="P7">IFERROR(SUMIF(INDEX($C:$C,ROW()+1):INDEX($C:$C,IFERROR(ROW()+MATCH($C7,INDEX($C:$C,ROW()+1):INDEX($C:$C,MAX(ROW(BOM))),0)-1,MAX(ROW(BOM)))),$C7+1,INDEX($F:$F,ROW()+1):INDEX($F:$F,IFERROR(ROW()+MATCH($C7,INDEX($C:$C,ROW()+1):INDEX($C:$C,MAX(ROW(BOM))),0)-1,MAX(ROW(BOM))))),0)</f>
        <v>0</v>
      </c>
      <c r="Q7" s="811"/>
      <c r="R7" s="824"/>
      <c r="S7" s="37"/>
      <c r="CR7" s="39"/>
      <c r="CS7" s="39"/>
      <c r="EC7" s="783"/>
      <c r="ED7" s="40"/>
      <c r="EE7" s="40"/>
      <c r="EF7" s="40"/>
    </row>
    <row r="8" spans="1:137" s="38" customFormat="1" ht="13.5">
      <c r="A8" s="810" t="str">
        <f t="shared" si="0"/>
        <v>01-01-04 PCB UI Upper</v>
      </c>
      <c r="B8" s="823" t="s">
        <v>4071</v>
      </c>
      <c r="C8" s="812">
        <v>3</v>
      </c>
      <c r="D8" s="813" t="s">
        <v>4065</v>
      </c>
      <c r="E8" s="812"/>
      <c r="F8" s="814">
        <v>1</v>
      </c>
      <c r="G8" s="815"/>
      <c r="H8" s="814"/>
      <c r="I8" s="814"/>
      <c r="J8" s="814"/>
      <c r="K8" s="816"/>
      <c r="L8" s="817"/>
      <c r="M8" s="818">
        <v>1</v>
      </c>
      <c r="N8" s="819" cm="1">
        <f t="array" ref="N8">F8*LOOKUP(100,1/($C$1:INDEX($C:$C,ROW()-1)=$C8-1),$N$1:INDEX($N:$N,ROW()-1))</f>
        <v>1</v>
      </c>
      <c r="O8" s="820" cm="1">
        <f t="array" ref="O8">IFERROR(IF(INDEX($C:$C,ROW()+1)=$C8+1,SUMIF(INDEX($C:$C,ROW()+1):INDEX($C:$C,IFERROR(ROW()+MATCH($C8,INDEX($C:$C,ROW()+1):INDEX($C:$C,MAX(ROW(BOM))),0)-1,MAX(ROW(BOM)))),$C8+1,INDEX($O:$O,ROW()+1):INDEX($O:$O,IFERROR(ROW()+MATCH($C8,INDEX($C:$C,ROW()+1):INDEX($C:$C,MAX(ROW(BOM))),0)-1,MAX(ROW(BOM))))),$N8*$G8),0)</f>
        <v>0</v>
      </c>
      <c r="P8" s="821" cm="1">
        <f t="array" ref="P8">IFERROR(SUMIF(INDEX($C:$C,ROW()+1):INDEX($C:$C,IFERROR(ROW()+MATCH($C8,INDEX($C:$C,ROW()+1):INDEX($C:$C,MAX(ROW(BOM))),0)-1,MAX(ROW(BOM)))),$C8+1,INDEX($F:$F,ROW()+1):INDEX($F:$F,IFERROR(ROW()+MATCH($C8,INDEX($C:$C,ROW()+1):INDEX($C:$C,MAX(ROW(BOM))),0)-1,MAX(ROW(BOM))))),0)</f>
        <v>0</v>
      </c>
      <c r="Q8" s="811"/>
      <c r="R8" s="824"/>
      <c r="S8" s="37"/>
      <c r="CR8" s="39"/>
      <c r="CS8" s="39"/>
      <c r="EC8" s="783"/>
      <c r="ED8" s="40"/>
      <c r="EE8" s="40"/>
      <c r="EF8" s="40"/>
    </row>
  </sheetData>
  <protectedRanges>
    <protectedRange sqref="A3:R8" name="BOM"/>
  </protectedRanges>
  <mergeCells count="2">
    <mergeCell ref="N1:O1"/>
    <mergeCell ref="H1:K1"/>
  </mergeCells>
  <phoneticPr fontId="37" type="noConversion"/>
  <dataValidations count="4">
    <dataValidation type="whole" operator="equal" allowBlank="1" showInputMessage="1" showErrorMessage="1" sqref="C3" xr:uid="{0FC6541D-D153-4FEC-9037-613355B1E279}">
      <formula1>1</formula1>
    </dataValidation>
    <dataValidation type="list" allowBlank="1" sqref="E3" xr:uid="{D081622F-C783-4C10-929A-CA1DDC24E69B}">
      <formula1>MAT_Dropdown</formula1>
    </dataValidation>
    <dataValidation type="list" allowBlank="1" showInputMessage="1" sqref="E4:E8" xr:uid="{CC990555-62FC-4D49-8997-688196C286D6}">
      <formula1>MAT_Dropdown</formula1>
    </dataValidation>
    <dataValidation type="whole" operator="greaterThan" allowBlank="1" showInputMessage="1" showErrorMessage="1" sqref="C4:C8" xr:uid="{27A07FA1-B71D-4E34-9B16-2CB3FDB979F1}">
      <formula1>1</formula1>
    </dataValidation>
  </dataValidations>
  <printOptions horizontalCentered="1"/>
  <pageMargins left="0.70866141732283472" right="0.70866141732283472" top="0.78740157480314965" bottom="0.78740157480314965" header="0.31496062992125984" footer="0.31496062992125984"/>
  <pageSetup paperSize="9" scale="65" orientation="landscape" r:id="rId1"/>
  <headerFooter>
    <oddHeader>&amp;C&amp;"Arial,Fett" Vertraulich</oddHeader>
    <oddFooter>&amp;L&amp;D&amp;CAWS Systemtechnik GmbH&amp;RSeite &amp;P &amp;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Calculation">
    <tabColor theme="8"/>
    <outlinePr summaryBelow="0"/>
    <pageSetUpPr fitToPage="1"/>
  </sheetPr>
  <dimension ref="A1:FM68"/>
  <sheetViews>
    <sheetView showGridLines="0" showZeros="0" zoomScaleNormal="100" workbookViewId="0">
      <pane xSplit="4" ySplit="11" topLeftCell="E12" activePane="bottomRight" state="frozen"/>
      <selection activeCell="D355" sqref="D355"/>
      <selection pane="topRight" activeCell="D355" sqref="D355"/>
      <selection pane="bottomLeft" activeCell="D355" sqref="D355"/>
      <selection pane="bottomRight" activeCell="L20" sqref="L20"/>
    </sheetView>
  </sheetViews>
  <sheetFormatPr baseColWidth="10" defaultColWidth="10.85546875" defaultRowHeight="12.75"/>
  <cols>
    <col min="1" max="1" width="1.7109375" style="44" customWidth="1"/>
    <col min="2" max="2" width="32.7109375" style="64" customWidth="1"/>
    <col min="3" max="3" width="6.7109375" style="64" customWidth="1"/>
    <col min="4" max="4" width="6.7109375" style="76" customWidth="1"/>
    <col min="5" max="5" width="32.7109375" style="64" customWidth="1"/>
    <col min="6" max="9" width="6.7109375" style="73" customWidth="1"/>
    <col min="10" max="10" width="6.7109375" style="73" hidden="1" customWidth="1"/>
    <col min="11" max="13" width="6.7109375" style="73" customWidth="1"/>
    <col min="14" max="18" width="6.7109375" style="73" hidden="1" customWidth="1"/>
    <col min="19" max="20" width="6.7109375" style="73" customWidth="1"/>
    <col min="21" max="21" width="6.7109375" style="73" hidden="1" customWidth="1"/>
    <col min="22" max="22" width="6.7109375" style="64" hidden="1" customWidth="1"/>
    <col min="23" max="23" width="18.7109375" style="64" hidden="1" customWidth="1"/>
    <col min="24" max="24" width="6.7109375" style="64" hidden="1" customWidth="1"/>
    <col min="25" max="26" width="9.7109375" style="64" hidden="1" customWidth="1"/>
    <col min="27" max="27" width="6.7109375" style="64" hidden="1" customWidth="1"/>
    <col min="28" max="28" width="18.7109375" style="64" hidden="1" customWidth="1"/>
    <col min="29" max="39" width="6.7109375" style="64" hidden="1" customWidth="1"/>
    <col min="40" max="40" width="6.7109375" style="73" hidden="1" customWidth="1"/>
    <col min="41" max="42" width="6.7109375" style="64" hidden="1" customWidth="1"/>
    <col min="43" max="43" width="32.7109375" style="64" customWidth="1"/>
    <col min="44" max="46" width="6.7109375" style="64" customWidth="1"/>
    <col min="47" max="49" width="6.7109375" style="64" hidden="1" customWidth="1"/>
    <col min="50" max="50" width="7.42578125" style="64" hidden="1" customWidth="1"/>
    <col min="51" max="51" width="7.42578125" style="73" hidden="1" customWidth="1"/>
    <col min="52" max="52" width="7.42578125" style="64" hidden="1" customWidth="1"/>
    <col min="53" max="59" width="6.7109375" style="64" hidden="1" customWidth="1"/>
    <col min="60" max="60" width="7.42578125" style="64" hidden="1" customWidth="1"/>
    <col min="61" max="66" width="6.7109375" style="64" hidden="1" customWidth="1"/>
    <col min="67" max="67" width="7.42578125" style="64" hidden="1" customWidth="1"/>
    <col min="68" max="70" width="6.7109375" style="77" hidden="1" customWidth="1"/>
    <col min="71" max="71" width="6.7109375" style="78" customWidth="1"/>
    <col min="72" max="72" width="6.7109375" style="77" customWidth="1"/>
    <col min="73" max="73" width="6.7109375" style="79" customWidth="1"/>
    <col min="74" max="76" width="9.7109375" style="80" customWidth="1"/>
    <col min="77" max="77" width="1.7109375" style="81" customWidth="1"/>
    <col min="78" max="78" width="5.28515625" style="96" customWidth="1"/>
    <col min="79" max="79" width="2.7109375" style="83" hidden="1" customWidth="1"/>
    <col min="80" max="80" width="2.7109375" style="84" hidden="1" customWidth="1"/>
    <col min="81" max="90" width="2.7109375" style="85" hidden="1" customWidth="1"/>
    <col min="91" max="91" width="4.7109375" style="85" hidden="1" customWidth="1"/>
    <col min="92" max="92" width="4.7109375" style="138" hidden="1" customWidth="1"/>
    <col min="93" max="93" width="4.7109375" style="139" hidden="1" customWidth="1"/>
    <col min="94" max="94" width="5.28515625" style="138" hidden="1" customWidth="1"/>
    <col min="95" max="96" width="4.7109375" style="140" hidden="1" customWidth="1"/>
    <col min="97" max="97" width="4.7109375" style="141" hidden="1" customWidth="1"/>
    <col min="98" max="98" width="12.7109375" style="925" hidden="1" customWidth="1"/>
    <col min="99" max="99" width="1.85546875" style="64" hidden="1" customWidth="1"/>
    <col min="100" max="106" width="6.7109375" style="73" hidden="1" customWidth="1"/>
    <col min="107" max="107" width="6.7109375" style="72" hidden="1" customWidth="1"/>
    <col min="108" max="110" width="6.7109375" style="73" hidden="1" customWidth="1"/>
    <col min="111" max="114" width="6.7109375" style="72" hidden="1" customWidth="1"/>
    <col min="115" max="124" width="6.7109375" style="73" hidden="1" customWidth="1"/>
    <col min="125" max="126" width="6.7109375" style="73" hidden="1" customWidth="1" collapsed="1"/>
    <col min="127" max="130" width="6.7109375" style="73" hidden="1" customWidth="1"/>
    <col min="131" max="132" width="6.7109375" style="73" hidden="1" customWidth="1" collapsed="1"/>
    <col min="133" max="133" width="1.85546875" style="64" hidden="1" customWidth="1"/>
    <col min="134" max="153" width="8.7109375" style="92" hidden="1" customWidth="1"/>
    <col min="154" max="154" width="8.7109375" style="93" hidden="1" customWidth="1"/>
    <col min="155" max="164" width="0.140625" style="64" customWidth="1"/>
    <col min="165" max="165" width="1.85546875" style="64" hidden="1" customWidth="1"/>
    <col min="166" max="166" width="12.7109375" style="73" hidden="1" customWidth="1"/>
    <col min="167" max="168" width="2.7109375" style="73" hidden="1" customWidth="1"/>
    <col min="169" max="169" width="9.28515625" style="925" hidden="1" customWidth="1"/>
    <col min="170" max="170" width="2.7109375" style="64" customWidth="1"/>
    <col min="171" max="16384" width="10.85546875" style="64"/>
  </cols>
  <sheetData>
    <row r="1" spans="1:169" ht="4.5" customHeight="1">
      <c r="B1" s="45"/>
      <c r="C1" s="45"/>
      <c r="D1" s="46"/>
      <c r="E1" s="45"/>
      <c r="F1" s="47"/>
      <c r="G1" s="47"/>
      <c r="H1" s="47"/>
      <c r="I1" s="47"/>
      <c r="J1" s="47"/>
      <c r="K1" s="47"/>
      <c r="L1" s="47"/>
      <c r="M1" s="47"/>
      <c r="N1" s="47"/>
      <c r="O1" s="47"/>
      <c r="P1" s="47"/>
      <c r="Q1" s="47"/>
      <c r="R1" s="47"/>
      <c r="S1" s="47"/>
      <c r="T1" s="47"/>
      <c r="U1" s="47"/>
      <c r="V1" s="45"/>
      <c r="W1" s="45"/>
      <c r="X1" s="45"/>
      <c r="Y1" s="45"/>
      <c r="Z1" s="45"/>
      <c r="AA1" s="45"/>
      <c r="AB1" s="45"/>
      <c r="AC1" s="45"/>
      <c r="AD1" s="45"/>
      <c r="AE1" s="45"/>
      <c r="AF1" s="45"/>
      <c r="AG1" s="45"/>
      <c r="AH1" s="45"/>
      <c r="AI1" s="45"/>
      <c r="AJ1" s="45"/>
      <c r="AK1" s="45"/>
      <c r="AL1" s="45"/>
      <c r="AM1" s="45"/>
      <c r="AN1" s="47"/>
      <c r="AO1" s="45"/>
      <c r="AP1" s="45"/>
      <c r="AQ1" s="45"/>
      <c r="AR1" s="45"/>
      <c r="AS1" s="45"/>
      <c r="AT1" s="45"/>
      <c r="AU1" s="45"/>
      <c r="AV1" s="45"/>
      <c r="AW1" s="45"/>
      <c r="AX1" s="45"/>
      <c r="AY1" s="47"/>
      <c r="AZ1" s="45"/>
      <c r="BA1" s="45"/>
      <c r="BB1" s="45"/>
      <c r="BC1" s="45"/>
      <c r="BD1" s="45"/>
      <c r="BE1" s="45"/>
      <c r="BF1" s="45"/>
      <c r="BG1" s="45"/>
      <c r="BH1" s="45"/>
      <c r="BI1" s="45"/>
      <c r="BJ1" s="45"/>
      <c r="BK1" s="45"/>
      <c r="BL1" s="45"/>
      <c r="BM1" s="45"/>
      <c r="BN1" s="45"/>
      <c r="BO1" s="45"/>
      <c r="BP1" s="48"/>
      <c r="BQ1" s="48"/>
      <c r="BR1" s="48"/>
      <c r="BS1" s="49"/>
      <c r="BT1" s="48"/>
      <c r="BU1" s="50"/>
      <c r="BV1" s="51"/>
      <c r="BW1" s="51"/>
      <c r="BX1" s="51"/>
      <c r="BY1" s="52"/>
      <c r="BZ1" s="53"/>
      <c r="CA1" s="54"/>
      <c r="CB1" s="55"/>
      <c r="CC1" s="56"/>
      <c r="CD1" s="56"/>
      <c r="CE1" s="56"/>
      <c r="CF1" s="56"/>
      <c r="CG1" s="56"/>
      <c r="CH1" s="56"/>
      <c r="CI1" s="56"/>
      <c r="CJ1" s="56"/>
      <c r="CK1" s="56"/>
      <c r="CL1" s="56"/>
      <c r="CM1" s="56"/>
      <c r="CN1" s="57"/>
      <c r="CO1" s="58"/>
      <c r="CP1" s="57"/>
      <c r="CQ1" s="59"/>
      <c r="CR1" s="59"/>
      <c r="CS1" s="60"/>
      <c r="CT1" s="922"/>
      <c r="CU1" s="45"/>
      <c r="CV1" s="47"/>
      <c r="CW1" s="47"/>
      <c r="CX1" s="47"/>
      <c r="CY1" s="47"/>
      <c r="CZ1" s="47"/>
      <c r="DA1" s="47"/>
      <c r="DB1" s="47"/>
      <c r="DC1" s="61"/>
      <c r="DD1" s="47"/>
      <c r="DE1" s="47"/>
      <c r="DF1" s="47"/>
      <c r="DG1" s="61"/>
      <c r="DH1" s="61"/>
      <c r="DI1" s="61"/>
      <c r="DJ1" s="61"/>
      <c r="DK1" s="47"/>
      <c r="DL1" s="47"/>
      <c r="DM1" s="47"/>
      <c r="DN1" s="47"/>
      <c r="DO1" s="47"/>
      <c r="DP1" s="47"/>
      <c r="DQ1" s="47"/>
      <c r="DR1" s="47"/>
      <c r="DS1" s="47"/>
      <c r="DT1" s="47"/>
      <c r="DU1" s="47"/>
      <c r="DV1" s="47"/>
      <c r="DW1" s="47"/>
      <c r="DX1" s="47"/>
      <c r="DY1" s="47"/>
      <c r="DZ1" s="47"/>
      <c r="EA1" s="47"/>
      <c r="EB1" s="47"/>
      <c r="EC1" s="45"/>
      <c r="ED1" s="62"/>
      <c r="EE1" s="62"/>
      <c r="EF1" s="62"/>
      <c r="EG1" s="62"/>
      <c r="EH1" s="62"/>
      <c r="EI1" s="62"/>
      <c r="EJ1" s="62"/>
      <c r="EK1" s="62"/>
      <c r="EL1" s="62"/>
      <c r="EM1" s="62"/>
      <c r="EN1" s="62"/>
      <c r="EO1" s="62"/>
      <c r="EP1" s="62"/>
      <c r="EQ1" s="62"/>
      <c r="ER1" s="62"/>
      <c r="ES1" s="62"/>
      <c r="ET1" s="62"/>
      <c r="EU1" s="62"/>
      <c r="EV1" s="62"/>
      <c r="EW1" s="62"/>
      <c r="EX1" s="63"/>
      <c r="EY1" s="45"/>
      <c r="EZ1" s="45"/>
      <c r="FA1" s="45"/>
      <c r="FB1" s="45"/>
      <c r="FC1" s="45"/>
      <c r="FD1" s="45"/>
      <c r="FE1" s="45"/>
      <c r="FF1" s="45"/>
      <c r="FG1" s="45"/>
      <c r="FH1" s="45"/>
      <c r="FI1" s="45"/>
      <c r="FJ1" s="47"/>
      <c r="FK1" s="47"/>
      <c r="FL1" s="47"/>
      <c r="FM1" s="922"/>
    </row>
    <row r="2" spans="1:169" s="65" customFormat="1" ht="4.5" customHeight="1">
      <c r="D2" s="66"/>
      <c r="E2" s="65" t="s">
        <v>3261</v>
      </c>
      <c r="F2" s="65" t="s">
        <v>529</v>
      </c>
      <c r="G2" s="65" t="s">
        <v>529</v>
      </c>
      <c r="H2" s="65" t="s">
        <v>529</v>
      </c>
      <c r="I2" s="65" t="s">
        <v>529</v>
      </c>
      <c r="J2" s="65" t="s">
        <v>530</v>
      </c>
      <c r="K2" s="65" t="s">
        <v>529</v>
      </c>
      <c r="L2" s="65" t="s">
        <v>529</v>
      </c>
      <c r="M2" s="65" t="s">
        <v>529</v>
      </c>
      <c r="N2" s="65">
        <v>1</v>
      </c>
      <c r="O2" s="65">
        <v>1</v>
      </c>
      <c r="P2" s="65" t="s">
        <v>256</v>
      </c>
      <c r="Q2" s="65" t="s">
        <v>256</v>
      </c>
      <c r="R2" s="65" t="s">
        <v>530</v>
      </c>
      <c r="S2" s="65" t="s">
        <v>529</v>
      </c>
      <c r="T2" s="65" t="s">
        <v>529</v>
      </c>
      <c r="U2" s="65" t="s">
        <v>256</v>
      </c>
      <c r="V2" s="65" t="s">
        <v>530</v>
      </c>
      <c r="W2" s="65">
        <v>2</v>
      </c>
      <c r="X2" s="65">
        <v>2</v>
      </c>
      <c r="Y2" s="65">
        <v>2</v>
      </c>
      <c r="Z2" s="65">
        <v>2</v>
      </c>
      <c r="AA2" s="65">
        <v>2</v>
      </c>
      <c r="AB2" s="65">
        <v>3</v>
      </c>
      <c r="AC2" s="65">
        <v>3</v>
      </c>
      <c r="AD2" s="65">
        <v>3</v>
      </c>
      <c r="AE2" s="65">
        <v>3</v>
      </c>
      <c r="AF2" s="65">
        <v>3</v>
      </c>
      <c r="AG2" s="65" t="s">
        <v>256</v>
      </c>
      <c r="AH2" s="65">
        <v>4</v>
      </c>
      <c r="AI2" s="65">
        <v>4</v>
      </c>
      <c r="AJ2" s="65">
        <v>4</v>
      </c>
      <c r="AK2" s="65">
        <v>4</v>
      </c>
      <c r="AL2" s="65" t="s">
        <v>256</v>
      </c>
      <c r="AM2" s="65" t="s">
        <v>256</v>
      </c>
      <c r="AN2" s="65" t="s">
        <v>256</v>
      </c>
      <c r="AO2" s="65" t="s">
        <v>256</v>
      </c>
      <c r="AP2" s="65" t="s">
        <v>256</v>
      </c>
      <c r="AQ2" s="65" t="s">
        <v>529</v>
      </c>
      <c r="AR2" s="65" t="s">
        <v>529</v>
      </c>
      <c r="AS2" s="65" t="s">
        <v>529</v>
      </c>
      <c r="AT2" s="65" t="s">
        <v>529</v>
      </c>
      <c r="AU2" s="65" t="s">
        <v>530</v>
      </c>
      <c r="AV2" s="65" t="s">
        <v>256</v>
      </c>
      <c r="AW2" s="65">
        <v>5</v>
      </c>
      <c r="AX2" s="65" t="s">
        <v>256</v>
      </c>
      <c r="AY2" s="65" t="s">
        <v>256</v>
      </c>
      <c r="AZ2" s="65" t="s">
        <v>256</v>
      </c>
      <c r="BA2" s="65" t="s">
        <v>256</v>
      </c>
      <c r="BB2" s="65" t="s">
        <v>256</v>
      </c>
      <c r="BC2" s="65">
        <v>-1</v>
      </c>
      <c r="BD2" s="65">
        <v>-1</v>
      </c>
      <c r="BE2" s="65">
        <v>-1</v>
      </c>
      <c r="BF2" s="65">
        <v>-1</v>
      </c>
      <c r="BG2" s="65" t="s">
        <v>3849</v>
      </c>
      <c r="BH2" s="65" t="s">
        <v>3849</v>
      </c>
      <c r="BI2" s="65" t="s">
        <v>256</v>
      </c>
      <c r="BJ2" s="65">
        <v>-1</v>
      </c>
      <c r="BK2" s="65">
        <v>-1</v>
      </c>
      <c r="BL2" s="65">
        <v>-1</v>
      </c>
      <c r="BM2" s="65">
        <v>-1</v>
      </c>
      <c r="BN2" s="65" t="s">
        <v>3849</v>
      </c>
      <c r="BO2" s="65" t="s">
        <v>3849</v>
      </c>
      <c r="BP2" s="65">
        <v>6</v>
      </c>
      <c r="BQ2" s="65">
        <v>6</v>
      </c>
      <c r="BR2" s="65">
        <v>6</v>
      </c>
      <c r="BS2" s="65" t="s">
        <v>529</v>
      </c>
      <c r="BT2" s="65" t="s">
        <v>529</v>
      </c>
      <c r="BU2" s="65" t="s">
        <v>529</v>
      </c>
      <c r="BV2" s="65" t="s">
        <v>529</v>
      </c>
      <c r="BW2" s="65" t="s">
        <v>529</v>
      </c>
      <c r="BX2" s="65">
        <v>7</v>
      </c>
      <c r="CA2" s="67" t="s">
        <v>142</v>
      </c>
      <c r="CB2" s="68" t="s">
        <v>142</v>
      </c>
      <c r="CC2" s="65" t="s">
        <v>142</v>
      </c>
      <c r="CD2" s="65" t="s">
        <v>142</v>
      </c>
      <c r="CE2" s="65" t="s">
        <v>142</v>
      </c>
      <c r="CF2" s="65" t="s">
        <v>142</v>
      </c>
      <c r="CG2" s="65" t="s">
        <v>142</v>
      </c>
      <c r="CH2" s="65" t="s">
        <v>142</v>
      </c>
      <c r="CI2" s="65" t="s">
        <v>142</v>
      </c>
      <c r="CJ2" s="65" t="s">
        <v>142</v>
      </c>
      <c r="CK2" s="65" t="s">
        <v>142</v>
      </c>
      <c r="CL2" s="65" t="s">
        <v>142</v>
      </c>
      <c r="CM2" s="65" t="s">
        <v>142</v>
      </c>
      <c r="CN2" s="1140" t="s">
        <v>142</v>
      </c>
      <c r="CO2" s="65" t="s">
        <v>142</v>
      </c>
      <c r="CP2" s="1140" t="s">
        <v>142</v>
      </c>
      <c r="CQ2" s="1141" t="s">
        <v>142</v>
      </c>
      <c r="CR2" s="1141" t="s">
        <v>142</v>
      </c>
      <c r="CS2" s="66" t="s">
        <v>142</v>
      </c>
      <c r="CT2" s="65" t="s">
        <v>142</v>
      </c>
      <c r="CU2" s="65">
        <v>8</v>
      </c>
      <c r="CV2" s="65">
        <v>8</v>
      </c>
      <c r="CW2" s="65">
        <v>8</v>
      </c>
      <c r="CX2" s="65">
        <v>8</v>
      </c>
      <c r="CY2" s="65">
        <v>8</v>
      </c>
      <c r="CZ2" s="65">
        <v>8</v>
      </c>
      <c r="DA2" s="65">
        <v>8</v>
      </c>
      <c r="DB2" s="65">
        <v>8</v>
      </c>
      <c r="DC2" s="65">
        <v>8</v>
      </c>
      <c r="DD2" s="65">
        <v>8</v>
      </c>
      <c r="DE2" s="65">
        <v>8</v>
      </c>
      <c r="DF2" s="65">
        <v>8</v>
      </c>
      <c r="DG2" s="65">
        <v>8</v>
      </c>
      <c r="DH2" s="65">
        <v>8</v>
      </c>
      <c r="DI2" s="65">
        <v>-1</v>
      </c>
      <c r="DJ2" s="65">
        <v>-1</v>
      </c>
      <c r="DK2" s="65">
        <v>8</v>
      </c>
      <c r="DL2" s="65">
        <v>-1</v>
      </c>
      <c r="DM2" s="65">
        <v>-1</v>
      </c>
      <c r="DN2" s="65">
        <v>8</v>
      </c>
      <c r="DO2" s="65">
        <v>8</v>
      </c>
      <c r="DP2" s="65">
        <v>8</v>
      </c>
      <c r="DQ2" s="65">
        <v>8</v>
      </c>
      <c r="DR2" s="65">
        <v>8</v>
      </c>
      <c r="DS2" s="65">
        <v>8</v>
      </c>
      <c r="DT2" s="65">
        <v>8</v>
      </c>
      <c r="DU2" s="65">
        <v>8</v>
      </c>
      <c r="DV2" s="65">
        <v>8</v>
      </c>
      <c r="DW2" s="65">
        <v>8</v>
      </c>
      <c r="DX2" s="65">
        <v>8</v>
      </c>
      <c r="DY2" s="65">
        <v>8</v>
      </c>
      <c r="DZ2" s="65">
        <v>8</v>
      </c>
      <c r="EA2" s="65">
        <v>8</v>
      </c>
      <c r="EB2" s="65">
        <v>8</v>
      </c>
      <c r="EC2" s="65">
        <v>9</v>
      </c>
      <c r="ED2" s="65">
        <v>9</v>
      </c>
      <c r="EE2" s="65">
        <v>9</v>
      </c>
      <c r="EF2" s="65">
        <v>9</v>
      </c>
      <c r="EG2" s="65">
        <v>9</v>
      </c>
      <c r="EH2" s="65">
        <v>9</v>
      </c>
      <c r="EI2" s="65">
        <v>9</v>
      </c>
      <c r="EJ2" s="65">
        <v>9</v>
      </c>
      <c r="EK2" s="65">
        <v>9</v>
      </c>
      <c r="EL2" s="65">
        <v>9</v>
      </c>
      <c r="EM2" s="65">
        <v>9</v>
      </c>
      <c r="EN2" s="65">
        <v>9</v>
      </c>
      <c r="EO2" s="65">
        <v>9</v>
      </c>
      <c r="EP2" s="65">
        <v>9</v>
      </c>
      <c r="EQ2" s="65">
        <v>9</v>
      </c>
      <c r="ER2" s="65">
        <v>9</v>
      </c>
      <c r="ES2" s="65">
        <v>9</v>
      </c>
      <c r="ET2" s="65">
        <v>9</v>
      </c>
      <c r="EU2" s="65">
        <v>9</v>
      </c>
      <c r="EV2" s="65">
        <v>9</v>
      </c>
      <c r="EW2" s="65">
        <v>9</v>
      </c>
      <c r="EX2" s="65">
        <v>9</v>
      </c>
      <c r="FI2" s="65">
        <v>10</v>
      </c>
      <c r="FJ2" s="65">
        <v>10</v>
      </c>
      <c r="FK2" s="65">
        <v>10</v>
      </c>
      <c r="FL2" s="65">
        <v>10</v>
      </c>
      <c r="FM2" s="65" t="s">
        <v>142</v>
      </c>
    </row>
    <row r="3" spans="1:169" s="791" customFormat="1" ht="12" customHeight="1">
      <c r="A3" s="731"/>
      <c r="B3" s="782"/>
      <c r="C3" s="783"/>
      <c r="D3" s="784"/>
      <c r="E3" s="1265" t="s">
        <v>2390</v>
      </c>
      <c r="F3" s="1266"/>
      <c r="G3" s="1266"/>
      <c r="H3" s="1266"/>
      <c r="I3" s="1266"/>
      <c r="J3" s="1267"/>
      <c r="K3" s="1265" t="s">
        <v>2392</v>
      </c>
      <c r="L3" s="1266"/>
      <c r="M3" s="1266"/>
      <c r="N3" s="1266"/>
      <c r="O3" s="1266"/>
      <c r="P3" s="1266"/>
      <c r="Q3" s="1266"/>
      <c r="R3" s="1267"/>
      <c r="S3" s="1265" t="s">
        <v>2394</v>
      </c>
      <c r="T3" s="1266"/>
      <c r="U3" s="1266"/>
      <c r="V3" s="1267"/>
      <c r="W3" s="1273" t="s">
        <v>2396</v>
      </c>
      <c r="X3" s="1274"/>
      <c r="Y3" s="1274"/>
      <c r="Z3" s="1274"/>
      <c r="AA3" s="1275"/>
      <c r="AB3" s="1261" t="s">
        <v>2398</v>
      </c>
      <c r="AC3" s="1262"/>
      <c r="AD3" s="1262"/>
      <c r="AE3" s="1262"/>
      <c r="AF3" s="1263"/>
      <c r="AG3" s="1261" t="s">
        <v>2421</v>
      </c>
      <c r="AH3" s="1262"/>
      <c r="AI3" s="1262"/>
      <c r="AJ3" s="1262"/>
      <c r="AK3" s="1262"/>
      <c r="AL3" s="1263"/>
      <c r="AM3" s="1265" t="s">
        <v>2422</v>
      </c>
      <c r="AN3" s="1266"/>
      <c r="AO3" s="1267"/>
      <c r="AP3" s="785" t="s">
        <v>2401</v>
      </c>
      <c r="AQ3" s="1265" t="s">
        <v>2423</v>
      </c>
      <c r="AR3" s="1266"/>
      <c r="AS3" s="1266"/>
      <c r="AT3" s="1266"/>
      <c r="AU3" s="1267"/>
      <c r="AV3" s="1265" t="s">
        <v>2404</v>
      </c>
      <c r="AW3" s="1266"/>
      <c r="AX3" s="1267"/>
      <c r="AY3" s="1265" t="s">
        <v>2406</v>
      </c>
      <c r="AZ3" s="1267"/>
      <c r="BA3" s="754" t="s">
        <v>2408</v>
      </c>
      <c r="BB3" s="754" t="s">
        <v>2410</v>
      </c>
      <c r="BC3" s="1265" t="s">
        <v>2412</v>
      </c>
      <c r="BD3" s="1266"/>
      <c r="BE3" s="1266"/>
      <c r="BF3" s="1266"/>
      <c r="BG3" s="1266"/>
      <c r="BH3" s="1267"/>
      <c r="BI3" s="754" t="s">
        <v>2414</v>
      </c>
      <c r="BJ3" s="1265" t="s">
        <v>2416</v>
      </c>
      <c r="BK3" s="1266"/>
      <c r="BL3" s="1266"/>
      <c r="BM3" s="1266"/>
      <c r="BN3" s="1266"/>
      <c r="BO3" s="1267"/>
      <c r="BP3" s="1265" t="s">
        <v>2418</v>
      </c>
      <c r="BQ3" s="1266"/>
      <c r="BR3" s="1267"/>
      <c r="BS3" s="1280" t="s">
        <v>130</v>
      </c>
      <c r="BT3" s="1281"/>
      <c r="BU3" s="786"/>
      <c r="BV3" s="1265" t="s">
        <v>2389</v>
      </c>
      <c r="BW3" s="1266"/>
      <c r="BX3" s="1267"/>
      <c r="BY3" s="787"/>
      <c r="BZ3" s="943"/>
      <c r="CA3" s="788"/>
      <c r="CB3" s="789"/>
      <c r="CC3" s="775"/>
      <c r="CD3" s="775"/>
      <c r="CE3" s="775"/>
      <c r="CF3" s="775"/>
      <c r="CG3" s="775"/>
      <c r="CH3" s="775"/>
      <c r="CI3" s="775"/>
      <c r="CJ3" s="775"/>
      <c r="CK3" s="775"/>
      <c r="CL3" s="775"/>
      <c r="CM3" s="790"/>
      <c r="CN3" s="790"/>
      <c r="CO3" s="790"/>
      <c r="CP3" s="790"/>
      <c r="CT3" s="775"/>
      <c r="CU3" s="792"/>
      <c r="CV3" s="1265" t="s">
        <v>284</v>
      </c>
      <c r="CW3" s="1266"/>
      <c r="CX3" s="1266"/>
      <c r="CY3" s="1266"/>
      <c r="CZ3" s="1266"/>
      <c r="DA3" s="1266"/>
      <c r="DB3" s="1266"/>
      <c r="DC3" s="1266"/>
      <c r="DD3" s="1266"/>
      <c r="DE3" s="1266"/>
      <c r="DF3" s="1266"/>
      <c r="DG3" s="1266"/>
      <c r="DH3" s="1266"/>
      <c r="DI3" s="1266"/>
      <c r="DJ3" s="1266"/>
      <c r="DK3" s="1266"/>
      <c r="DL3" s="1266"/>
      <c r="DM3" s="1266"/>
      <c r="DN3" s="1266"/>
      <c r="DO3" s="1266"/>
      <c r="DP3" s="1266"/>
      <c r="DQ3" s="1266"/>
      <c r="DR3" s="1266"/>
      <c r="DS3" s="1266"/>
      <c r="DT3" s="1266"/>
      <c r="DU3" s="1266"/>
      <c r="DV3" s="1266"/>
      <c r="DW3" s="1266"/>
      <c r="DX3" s="1266"/>
      <c r="DY3" s="1266"/>
      <c r="DZ3" s="1266"/>
      <c r="EA3" s="1266"/>
      <c r="EB3" s="1266"/>
      <c r="ED3" s="1292" t="s">
        <v>3356</v>
      </c>
      <c r="EE3" s="1293"/>
      <c r="EF3" s="1292" t="s">
        <v>3365</v>
      </c>
      <c r="EG3" s="1295"/>
      <c r="EH3" s="1295"/>
      <c r="EI3" s="1295"/>
      <c r="EJ3" s="1295"/>
      <c r="EK3" s="1295"/>
      <c r="EL3" s="1293"/>
      <c r="EM3" s="1292" t="s">
        <v>3349</v>
      </c>
      <c r="EN3" s="1295"/>
      <c r="EO3" s="1295"/>
      <c r="EP3" s="1295"/>
      <c r="EQ3" s="1293"/>
      <c r="ER3" s="1292" t="s">
        <v>3744</v>
      </c>
      <c r="ES3" s="1296"/>
      <c r="ET3" s="1296"/>
      <c r="EU3" s="1296"/>
      <c r="EV3" s="1296"/>
      <c r="EW3" s="1297"/>
      <c r="EX3" s="756" t="s">
        <v>1417</v>
      </c>
      <c r="FJ3" s="1276" t="s">
        <v>204</v>
      </c>
      <c r="FK3" s="1276"/>
      <c r="FL3" s="1276"/>
      <c r="FM3" s="775"/>
    </row>
    <row r="4" spans="1:169" s="753" customFormat="1" ht="12.75" customHeight="1">
      <c r="A4" s="731"/>
      <c r="B4" s="732"/>
      <c r="C4" s="733"/>
      <c r="D4" s="734"/>
      <c r="F4" s="1264" t="s">
        <v>151</v>
      </c>
      <c r="G4" s="1264" t="s">
        <v>55</v>
      </c>
      <c r="H4" s="1264" t="s">
        <v>81</v>
      </c>
      <c r="I4" s="735" t="s">
        <v>58</v>
      </c>
      <c r="J4" s="736" t="s">
        <v>70</v>
      </c>
      <c r="K4" s="737" t="s">
        <v>73</v>
      </c>
      <c r="L4" s="738" t="s">
        <v>74</v>
      </c>
      <c r="M4" s="850" t="s">
        <v>75</v>
      </c>
      <c r="N4" s="741" t="s">
        <v>74</v>
      </c>
      <c r="O4" s="735" t="s">
        <v>75</v>
      </c>
      <c r="P4" s="738" t="s">
        <v>73</v>
      </c>
      <c r="Q4" s="735" t="s">
        <v>455</v>
      </c>
      <c r="R4" s="736" t="s">
        <v>70</v>
      </c>
      <c r="S4" s="737" t="s">
        <v>75</v>
      </c>
      <c r="T4" s="735" t="s">
        <v>124</v>
      </c>
      <c r="U4" s="735" t="s">
        <v>455</v>
      </c>
      <c r="V4" s="736" t="s">
        <v>70</v>
      </c>
      <c r="W4" s="1269" t="s">
        <v>69</v>
      </c>
      <c r="X4" s="1271" t="s">
        <v>78</v>
      </c>
      <c r="Y4" s="1264" t="s">
        <v>2374</v>
      </c>
      <c r="Z4" s="738" t="s">
        <v>157</v>
      </c>
      <c r="AA4" s="739"/>
      <c r="AB4" s="1269" t="s">
        <v>69</v>
      </c>
      <c r="AC4" s="1271" t="s">
        <v>78</v>
      </c>
      <c r="AD4" s="1264" t="s">
        <v>2374</v>
      </c>
      <c r="AE4" s="738" t="s">
        <v>157</v>
      </c>
      <c r="AF4" s="739"/>
      <c r="AG4" s="740"/>
      <c r="AH4" s="1264" t="s">
        <v>72</v>
      </c>
      <c r="AI4" s="1264"/>
      <c r="AJ4" s="852" t="s">
        <v>158</v>
      </c>
      <c r="AK4" s="735" t="s">
        <v>159</v>
      </c>
      <c r="AL4" s="736"/>
      <c r="AM4" s="741" t="s">
        <v>1223</v>
      </c>
      <c r="AN4" s="735"/>
      <c r="AO4" s="736"/>
      <c r="AP4" s="742"/>
      <c r="AQ4" s="743"/>
      <c r="AR4" s="744"/>
      <c r="AS4" s="744"/>
      <c r="AT4" s="738" t="s">
        <v>157</v>
      </c>
      <c r="AU4" s="736" t="s">
        <v>70</v>
      </c>
      <c r="AV4" s="740"/>
      <c r="AW4" s="852" t="s">
        <v>158</v>
      </c>
      <c r="AX4" s="745"/>
      <c r="AY4" s="741"/>
      <c r="AZ4" s="746"/>
      <c r="BA4" s="747"/>
      <c r="BB4" s="747"/>
      <c r="BC4" s="1279" t="s">
        <v>163</v>
      </c>
      <c r="BD4" s="1278"/>
      <c r="BE4" s="1277" t="s">
        <v>34</v>
      </c>
      <c r="BF4" s="1278"/>
      <c r="BG4" s="1282"/>
      <c r="BH4" s="1283"/>
      <c r="BI4" s="748"/>
      <c r="BJ4" s="1279" t="s">
        <v>163</v>
      </c>
      <c r="BK4" s="1278"/>
      <c r="BL4" s="1277" t="s">
        <v>34</v>
      </c>
      <c r="BM4" s="1278"/>
      <c r="BN4" s="1277"/>
      <c r="BO4" s="1283"/>
      <c r="BP4" s="749"/>
      <c r="BQ4" s="738"/>
      <c r="BR4" s="736" t="s">
        <v>70</v>
      </c>
      <c r="BS4" s="750" t="s">
        <v>160</v>
      </c>
      <c r="BT4" s="750" t="s">
        <v>70</v>
      </c>
      <c r="BU4" s="751"/>
      <c r="BV4" s="750" t="s">
        <v>160</v>
      </c>
      <c r="BW4" s="750" t="s">
        <v>70</v>
      </c>
      <c r="BX4" s="750" t="s">
        <v>203</v>
      </c>
      <c r="BY4" s="752"/>
      <c r="BZ4" s="942"/>
      <c r="CA4" s="1284" t="s">
        <v>1367</v>
      </c>
      <c r="CB4" s="1285"/>
      <c r="CC4" s="1286"/>
      <c r="CD4" s="1287" t="s">
        <v>557</v>
      </c>
      <c r="CE4" s="1289"/>
      <c r="CF4" s="1288"/>
      <c r="CG4" s="1287" t="s">
        <v>1366</v>
      </c>
      <c r="CH4" s="1289"/>
      <c r="CI4" s="1289"/>
      <c r="CJ4" s="1288"/>
      <c r="CK4" s="1287" t="s">
        <v>856</v>
      </c>
      <c r="CL4" s="1288"/>
      <c r="CM4" s="1287" t="s">
        <v>1365</v>
      </c>
      <c r="CN4" s="1289"/>
      <c r="CO4" s="1289"/>
      <c r="CP4" s="1288"/>
      <c r="CQ4" s="1287" t="s">
        <v>2133</v>
      </c>
      <c r="CR4" s="1289"/>
      <c r="CS4" s="1289"/>
      <c r="CT4" s="952"/>
      <c r="CU4" s="926"/>
      <c r="CV4" s="1265" t="s">
        <v>2591</v>
      </c>
      <c r="CW4" s="1266"/>
      <c r="CX4" s="1266"/>
      <c r="CY4" s="1266"/>
      <c r="CZ4" s="1266"/>
      <c r="DA4" s="1266"/>
      <c r="DB4" s="1266"/>
      <c r="DC4" s="1266"/>
      <c r="DD4" s="1266"/>
      <c r="DE4" s="1266"/>
      <c r="DF4" s="1266"/>
      <c r="DG4" s="1266"/>
      <c r="DH4" s="1266"/>
      <c r="DI4" s="1266"/>
      <c r="DJ4" s="1266"/>
      <c r="DK4" s="1266"/>
      <c r="DL4" s="1266"/>
      <c r="DM4" s="1266"/>
      <c r="DN4" s="1266"/>
      <c r="DO4" s="1266"/>
      <c r="DP4" s="1267"/>
      <c r="DQ4" s="1265" t="s">
        <v>2592</v>
      </c>
      <c r="DR4" s="1266"/>
      <c r="DS4" s="1266"/>
      <c r="DT4" s="1266"/>
      <c r="DU4" s="1266"/>
      <c r="DV4" s="1267"/>
      <c r="DW4" s="1265" t="s">
        <v>2593</v>
      </c>
      <c r="DX4" s="1266"/>
      <c r="DY4" s="1266"/>
      <c r="DZ4" s="1266"/>
      <c r="EA4" s="1266"/>
      <c r="EB4" s="1267"/>
      <c r="ED4" s="755" t="s">
        <v>543</v>
      </c>
      <c r="EE4" s="755" t="s">
        <v>580</v>
      </c>
      <c r="EF4" s="755" t="s">
        <v>1386</v>
      </c>
      <c r="EG4" s="755" t="s">
        <v>3357</v>
      </c>
      <c r="EH4" s="755" t="s">
        <v>3358</v>
      </c>
      <c r="EI4" s="755" t="s">
        <v>3344</v>
      </c>
      <c r="EJ4" s="755" t="s">
        <v>3359</v>
      </c>
      <c r="EK4" s="1078" t="s">
        <v>3346</v>
      </c>
      <c r="EL4" s="1079" t="s">
        <v>3370</v>
      </c>
      <c r="EM4" s="755" t="s">
        <v>3360</v>
      </c>
      <c r="EN4" s="755" t="s">
        <v>3361</v>
      </c>
      <c r="EO4" s="755" t="s">
        <v>3362</v>
      </c>
      <c r="EP4" s="755" t="s">
        <v>3735</v>
      </c>
      <c r="EQ4" s="1079" t="s">
        <v>3369</v>
      </c>
      <c r="ER4" s="1298" t="s">
        <v>3741</v>
      </c>
      <c r="ES4" s="1079" t="s">
        <v>3745</v>
      </c>
      <c r="ET4" s="1079" t="s">
        <v>3742</v>
      </c>
      <c r="EU4" s="1079" t="s">
        <v>3764</v>
      </c>
      <c r="EV4" s="1079" t="s">
        <v>3743</v>
      </c>
      <c r="EW4" s="756" t="s">
        <v>70</v>
      </c>
      <c r="EX4" s="756" t="s">
        <v>70</v>
      </c>
      <c r="FJ4" s="750"/>
      <c r="FK4" s="750"/>
      <c r="FL4" s="750"/>
      <c r="FM4" s="952"/>
    </row>
    <row r="5" spans="1:169" s="753" customFormat="1" ht="12.75" customHeight="1">
      <c r="A5" s="731"/>
      <c r="B5" s="757"/>
      <c r="C5" s="758"/>
      <c r="D5" s="759"/>
      <c r="E5" s="766" t="s">
        <v>69</v>
      </c>
      <c r="F5" s="1272"/>
      <c r="G5" s="1272"/>
      <c r="H5" s="1272"/>
      <c r="I5" s="760" t="str">
        <f>Currency &amp;"/h"</f>
        <v>EUR/h</v>
      </c>
      <c r="J5" s="761" t="str">
        <f>Currency &amp;"/Prt"</f>
        <v>EUR/Prt</v>
      </c>
      <c r="K5" s="762" t="s">
        <v>156</v>
      </c>
      <c r="L5" s="763" t="s">
        <v>126</v>
      </c>
      <c r="M5" s="761" t="s">
        <v>78</v>
      </c>
      <c r="N5" s="762" t="s">
        <v>126</v>
      </c>
      <c r="O5" s="763" t="s">
        <v>78</v>
      </c>
      <c r="P5" s="763" t="s">
        <v>172</v>
      </c>
      <c r="Q5" s="760" t="str">
        <f>Currency &amp;"/h"</f>
        <v>EUR/h</v>
      </c>
      <c r="R5" s="761" t="str">
        <f>Currency &amp;"/Prt"</f>
        <v>EUR/Prt</v>
      </c>
      <c r="S5" s="762" t="s">
        <v>78</v>
      </c>
      <c r="T5" s="763" t="s">
        <v>139</v>
      </c>
      <c r="U5" s="763" t="str">
        <f>Currency &amp;"/h"</f>
        <v>EUR/h</v>
      </c>
      <c r="V5" s="761" t="str">
        <f>Currency &amp;"/Prt"</f>
        <v>EUR/Prt</v>
      </c>
      <c r="W5" s="1270"/>
      <c r="X5" s="1268"/>
      <c r="Y5" s="1268"/>
      <c r="Z5" s="760" t="str">
        <f>Currency</f>
        <v>EUR</v>
      </c>
      <c r="AA5" s="764" t="str">
        <f>Currency &amp;"/Prt"</f>
        <v>EUR/Prt</v>
      </c>
      <c r="AB5" s="1270"/>
      <c r="AC5" s="1268"/>
      <c r="AD5" s="1268"/>
      <c r="AE5" s="760" t="str">
        <f>Currency</f>
        <v>EUR</v>
      </c>
      <c r="AF5" s="764" t="str">
        <f>Currency &amp;"/Prt"</f>
        <v>EUR/Prt</v>
      </c>
      <c r="AG5" s="762" t="s">
        <v>3</v>
      </c>
      <c r="AH5" s="760" t="s">
        <v>3</v>
      </c>
      <c r="AI5" s="760" t="str">
        <f>Currency &amp;"/Prt"</f>
        <v>EUR/Prt</v>
      </c>
      <c r="AJ5" s="760" t="str">
        <f>Currency &amp;"/Prt"</f>
        <v>EUR/Prt</v>
      </c>
      <c r="AK5" s="760" t="str">
        <f>Currency &amp;"/Prt"</f>
        <v>EUR/Prt</v>
      </c>
      <c r="AL5" s="761" t="str">
        <f>Currency &amp;"/Prt"</f>
        <v>EUR/Prt</v>
      </c>
      <c r="AM5" s="762" t="str">
        <f>Currency &amp;"/h"</f>
        <v>EUR/h</v>
      </c>
      <c r="AN5" s="760" t="s">
        <v>3</v>
      </c>
      <c r="AO5" s="761" t="str">
        <f>Currency &amp;"/Prt"</f>
        <v>EUR/Prt</v>
      </c>
      <c r="AP5" s="765" t="str">
        <f>Currency &amp;"/Prt"</f>
        <v>EUR/Prt</v>
      </c>
      <c r="AQ5" s="766" t="s">
        <v>69</v>
      </c>
      <c r="AR5" s="767" t="s">
        <v>78</v>
      </c>
      <c r="AS5" s="767" t="s">
        <v>71</v>
      </c>
      <c r="AT5" s="763" t="str">
        <f>Currency</f>
        <v>EUR</v>
      </c>
      <c r="AU5" s="768" t="str">
        <f>Currency</f>
        <v>EUR</v>
      </c>
      <c r="AV5" s="762" t="s">
        <v>3</v>
      </c>
      <c r="AW5" s="763" t="str">
        <f>Currency &amp;"/Prt"</f>
        <v>EUR/Prt</v>
      </c>
      <c r="AX5" s="761" t="str">
        <f>Currency &amp;"/Prt"</f>
        <v>EUR/Prt</v>
      </c>
      <c r="AY5" s="762" t="s">
        <v>3</v>
      </c>
      <c r="AZ5" s="761" t="str">
        <f>Currency &amp;"/Prt"</f>
        <v>EUR/Prt</v>
      </c>
      <c r="BA5" s="769" t="str">
        <f>Currency &amp;"/Prt"</f>
        <v>EUR/Prt</v>
      </c>
      <c r="BB5" s="769" t="str">
        <f>Currency &amp;"/Prt"</f>
        <v>EUR/Prt</v>
      </c>
      <c r="BC5" s="762" t="s">
        <v>3</v>
      </c>
      <c r="BD5" s="763" t="str">
        <f>Currency &amp;"/Prt"</f>
        <v>EUR/Prt</v>
      </c>
      <c r="BE5" s="763" t="s">
        <v>3</v>
      </c>
      <c r="BF5" s="763" t="str">
        <f>Currency &amp;"/Prt"</f>
        <v>EUR/Prt</v>
      </c>
      <c r="BG5" s="763" t="s">
        <v>3</v>
      </c>
      <c r="BH5" s="761" t="str">
        <f>Currency &amp;"/Prt"</f>
        <v>EUR/Prt</v>
      </c>
      <c r="BI5" s="770" t="str">
        <f>Currency &amp;"/Prt"</f>
        <v>EUR/Prt</v>
      </c>
      <c r="BJ5" s="762" t="s">
        <v>3</v>
      </c>
      <c r="BK5" s="763" t="str">
        <f>Currency &amp;"/Prt"</f>
        <v>EUR/Prt</v>
      </c>
      <c r="BL5" s="763" t="s">
        <v>3</v>
      </c>
      <c r="BM5" s="763" t="str">
        <f>Currency &amp;"/Prt"</f>
        <v>EUR/Prt</v>
      </c>
      <c r="BN5" s="763" t="s">
        <v>3</v>
      </c>
      <c r="BO5" s="761" t="str">
        <f>Currency &amp;"/Prt"</f>
        <v>EUR/Prt</v>
      </c>
      <c r="BP5" s="771" t="s">
        <v>3</v>
      </c>
      <c r="BQ5" s="763" t="str">
        <f>Currency &amp;"/Prt"</f>
        <v>EUR/Prt</v>
      </c>
      <c r="BR5" s="761" t="str">
        <f>Currency &amp;"/Prt"</f>
        <v>EUR/Prt</v>
      </c>
      <c r="BS5" s="772" t="str">
        <f>Currency</f>
        <v>EUR</v>
      </c>
      <c r="BT5" s="772" t="str">
        <f>Currency</f>
        <v>EUR</v>
      </c>
      <c r="BU5" s="773" t="s">
        <v>136</v>
      </c>
      <c r="BV5" s="772" t="str">
        <f>Currency</f>
        <v>EUR</v>
      </c>
      <c r="BW5" s="772" t="str">
        <f>Currency</f>
        <v>EUR</v>
      </c>
      <c r="BX5" s="772" t="str">
        <f>Currency</f>
        <v>EUR</v>
      </c>
      <c r="BY5" s="774"/>
      <c r="BZ5" s="941" t="s">
        <v>138</v>
      </c>
      <c r="CA5" s="775" t="s">
        <v>255</v>
      </c>
      <c r="CB5" s="775" t="s">
        <v>255</v>
      </c>
      <c r="CC5" s="775" t="s">
        <v>255</v>
      </c>
      <c r="CD5" s="776" t="s">
        <v>257</v>
      </c>
      <c r="CE5" s="775" t="s">
        <v>258</v>
      </c>
      <c r="CF5" s="777" t="s">
        <v>84</v>
      </c>
      <c r="CG5" s="776" t="s">
        <v>256</v>
      </c>
      <c r="CH5" s="775" t="s">
        <v>240</v>
      </c>
      <c r="CI5" s="775" t="s">
        <v>281</v>
      </c>
      <c r="CJ5" s="777" t="s">
        <v>280</v>
      </c>
      <c r="CK5" s="775" t="s">
        <v>38</v>
      </c>
      <c r="CL5" s="775" t="s">
        <v>260</v>
      </c>
      <c r="CM5" s="776" t="s">
        <v>130</v>
      </c>
      <c r="CN5" s="778" t="s">
        <v>1091</v>
      </c>
      <c r="CO5" s="776" t="s">
        <v>130</v>
      </c>
      <c r="CP5" s="778" t="s">
        <v>1092</v>
      </c>
      <c r="CQ5" s="779" t="s">
        <v>1237</v>
      </c>
      <c r="CR5" s="776" t="s">
        <v>1091</v>
      </c>
      <c r="CS5" s="776" t="s">
        <v>1092</v>
      </c>
      <c r="CT5" s="950" t="s">
        <v>706</v>
      </c>
      <c r="CU5" s="926"/>
      <c r="CV5" s="920" t="s">
        <v>1386</v>
      </c>
      <c r="CW5" s="920" t="s">
        <v>165</v>
      </c>
      <c r="CX5" s="920" t="s">
        <v>534</v>
      </c>
      <c r="CY5" s="920" t="s">
        <v>2310</v>
      </c>
      <c r="CZ5" s="920" t="s">
        <v>1394</v>
      </c>
      <c r="DA5" s="920" t="s">
        <v>2615</v>
      </c>
      <c r="DB5" s="920" t="s">
        <v>1378</v>
      </c>
      <c r="DC5" s="921" t="s">
        <v>155</v>
      </c>
      <c r="DD5" s="920" t="s">
        <v>282</v>
      </c>
      <c r="DE5" s="920" t="s">
        <v>2616</v>
      </c>
      <c r="DF5" s="920" t="s">
        <v>283</v>
      </c>
      <c r="DG5" s="921" t="s">
        <v>2068</v>
      </c>
      <c r="DH5" s="921" t="s">
        <v>169</v>
      </c>
      <c r="DI5" s="920" t="s">
        <v>174</v>
      </c>
      <c r="DJ5" s="920" t="s">
        <v>2611</v>
      </c>
      <c r="DK5" s="920" t="s">
        <v>210</v>
      </c>
      <c r="DL5" s="920" t="s">
        <v>1371</v>
      </c>
      <c r="DM5" s="920" t="s">
        <v>1372</v>
      </c>
      <c r="DN5" s="920" t="s">
        <v>209</v>
      </c>
      <c r="DO5" s="920" t="s">
        <v>667</v>
      </c>
      <c r="DP5" s="921" t="s">
        <v>157</v>
      </c>
      <c r="DQ5" s="920" t="s">
        <v>2612</v>
      </c>
      <c r="DR5" s="920" t="s">
        <v>283</v>
      </c>
      <c r="DS5" s="920" t="s">
        <v>210</v>
      </c>
      <c r="DT5" s="920" t="s">
        <v>209</v>
      </c>
      <c r="DU5" s="920" t="s">
        <v>667</v>
      </c>
      <c r="DV5" s="921" t="s">
        <v>157</v>
      </c>
      <c r="DW5" s="920" t="s">
        <v>2612</v>
      </c>
      <c r="DX5" s="920" t="s">
        <v>283</v>
      </c>
      <c r="DY5" s="920" t="s">
        <v>210</v>
      </c>
      <c r="DZ5" s="920" t="s">
        <v>209</v>
      </c>
      <c r="EA5" s="920" t="s">
        <v>667</v>
      </c>
      <c r="EB5" s="921" t="s">
        <v>157</v>
      </c>
      <c r="ED5" s="780" t="s">
        <v>1023</v>
      </c>
      <c r="EE5" s="780" t="s">
        <v>1023</v>
      </c>
      <c r="EF5" s="780" t="s">
        <v>3377</v>
      </c>
      <c r="EG5" s="780" t="s">
        <v>3377</v>
      </c>
      <c r="EH5" s="780" t="s">
        <v>3377</v>
      </c>
      <c r="EI5" s="780" t="s">
        <v>3377</v>
      </c>
      <c r="EJ5" s="780" t="s">
        <v>3377</v>
      </c>
      <c r="EK5" s="780" t="s">
        <v>3377</v>
      </c>
      <c r="EL5" s="780" t="s">
        <v>3377</v>
      </c>
      <c r="EM5" s="780" t="s">
        <v>3915</v>
      </c>
      <c r="EN5" s="780" t="s">
        <v>3377</v>
      </c>
      <c r="EO5" s="780" t="s">
        <v>3377</v>
      </c>
      <c r="EP5" s="780" t="s">
        <v>3377</v>
      </c>
      <c r="EQ5" s="780" t="s">
        <v>3377</v>
      </c>
      <c r="ER5" s="1299"/>
      <c r="ES5" s="780" t="s">
        <v>3377</v>
      </c>
      <c r="ET5" s="780" t="s">
        <v>3377</v>
      </c>
      <c r="EU5" s="780" t="s">
        <v>3377</v>
      </c>
      <c r="EV5" s="780" t="s">
        <v>3377</v>
      </c>
      <c r="EW5" s="780" t="s">
        <v>3377</v>
      </c>
      <c r="EX5" s="780" t="s">
        <v>3377</v>
      </c>
      <c r="FJ5" s="781">
        <v>1</v>
      </c>
      <c r="FK5" s="781">
        <v>2</v>
      </c>
      <c r="FL5" s="781">
        <v>3</v>
      </c>
      <c r="FM5" s="950" t="s">
        <v>3885</v>
      </c>
    </row>
    <row r="6" spans="1:169" ht="4.5" customHeight="1">
      <c r="BZ6" s="82"/>
      <c r="CD6" s="86"/>
      <c r="CF6" s="87"/>
      <c r="CG6" s="86"/>
      <c r="CJ6" s="87"/>
      <c r="CM6" s="86"/>
      <c r="CN6" s="88"/>
      <c r="CO6" s="89"/>
      <c r="CP6" s="88"/>
      <c r="CQ6" s="90"/>
      <c r="CR6" s="90"/>
      <c r="CS6" s="91"/>
      <c r="CT6" s="87"/>
      <c r="FJ6" s="94"/>
      <c r="FK6" s="94"/>
      <c r="FL6" s="94"/>
      <c r="FM6" s="87"/>
    </row>
    <row r="7" spans="1:169" s="108" customFormat="1" ht="12.75" customHeight="1">
      <c r="A7" s="707" t="s">
        <v>84</v>
      </c>
      <c r="B7" s="706" t="str">
        <f>INDEX(Premises!$A$11:$F$11,1,MATCH(VALUE(RIGHT($BZ7,IF(ISERROR(FIND("-",$BZ7)),LEN($BZ7),LEN($BZ7)-IF(LEN($BZ7)-LEN(SUBSTITUTE($BZ7,"-",""))=1,FIND("-",$BZ7),FIND("-",$BZ7,FIND("-",$BZ7)+1))))),Premises!$A$10:$F$10,0))</f>
        <v>Supplier 1</v>
      </c>
      <c r="C7" s="933">
        <f>$BW$66+SUM(Premises!$C$64:$F$64)</f>
        <v>21.140410337914346</v>
      </c>
      <c r="D7" s="95"/>
      <c r="E7" s="71"/>
      <c r="G7" s="966"/>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97"/>
      <c r="AT7" s="97"/>
      <c r="AU7" s="97"/>
      <c r="AV7" s="71"/>
      <c r="AW7" s="71"/>
      <c r="AX7" s="96"/>
      <c r="AY7" s="96"/>
      <c r="AZ7" s="71"/>
      <c r="BA7" s="71"/>
      <c r="BB7" s="71"/>
      <c r="BC7" s="71"/>
      <c r="BD7" s="71"/>
      <c r="BE7" s="71"/>
      <c r="BF7" s="71"/>
      <c r="BG7" s="71"/>
      <c r="BH7" s="71"/>
      <c r="BI7" s="71"/>
      <c r="BJ7" s="71"/>
      <c r="BK7" s="71"/>
      <c r="BL7" s="71"/>
      <c r="BM7" s="71"/>
      <c r="BN7" s="71"/>
      <c r="BO7" s="71"/>
      <c r="BP7" s="97"/>
      <c r="BQ7" s="97"/>
      <c r="BR7" s="97"/>
      <c r="BS7" s="97"/>
      <c r="BT7" s="97"/>
      <c r="BU7" s="98"/>
      <c r="BV7" s="99"/>
      <c r="BW7" s="99"/>
      <c r="BX7" s="100"/>
      <c r="BY7" s="101"/>
      <c r="BZ7" s="708">
        <f>IF(LEN(BOM!$M$3=1),BOM!$M$3,1)</f>
        <v>1</v>
      </c>
      <c r="CA7" s="102"/>
      <c r="CB7" s="103"/>
      <c r="CC7" s="70"/>
      <c r="CD7" s="74"/>
      <c r="CE7" s="70"/>
      <c r="CF7" s="75"/>
      <c r="CG7" s="74"/>
      <c r="CH7" s="70"/>
      <c r="CI7" s="70"/>
      <c r="CJ7" s="75"/>
      <c r="CK7" s="70"/>
      <c r="CL7" s="70"/>
      <c r="CM7" s="74"/>
      <c r="CN7" s="104"/>
      <c r="CO7" s="105"/>
      <c r="CP7" s="104"/>
      <c r="CQ7" s="106"/>
      <c r="CR7" s="106"/>
      <c r="CS7" s="107"/>
      <c r="CT7" s="75"/>
      <c r="CV7" s="1290"/>
      <c r="CW7" s="1290"/>
      <c r="CX7" s="1290"/>
      <c r="CY7" s="1290"/>
      <c r="CZ7" s="1290"/>
      <c r="DA7" s="1290"/>
      <c r="DB7" s="1290"/>
      <c r="DC7" s="1290"/>
      <c r="DD7" s="1290"/>
      <c r="DE7" s="1290"/>
      <c r="DF7" s="1290"/>
      <c r="DG7" s="1290"/>
      <c r="DH7" s="1291"/>
      <c r="DI7" s="1291"/>
      <c r="DJ7" s="1291"/>
      <c r="DK7" s="1291"/>
      <c r="DL7" s="1291"/>
      <c r="DM7" s="1291"/>
      <c r="DN7" s="1291"/>
      <c r="DO7" s="1291"/>
      <c r="DP7" s="919">
        <f>DP$66</f>
        <v>21.140410337914346</v>
      </c>
      <c r="DQ7" s="1291"/>
      <c r="DR7" s="1291"/>
      <c r="DS7" s="1291"/>
      <c r="DT7" s="1291"/>
      <c r="DU7" s="1291"/>
      <c r="DV7" s="919">
        <f>DV$66</f>
        <v>0</v>
      </c>
      <c r="DW7" s="1291"/>
      <c r="DX7" s="1291"/>
      <c r="DY7" s="1291"/>
      <c r="DZ7" s="1291"/>
      <c r="EA7" s="1291"/>
      <c r="EB7" s="919">
        <f>EB$66</f>
        <v>21.140410337914346</v>
      </c>
      <c r="ED7" s="1294"/>
      <c r="EE7" s="1294"/>
      <c r="EF7" s="1294"/>
      <c r="EG7" s="1294"/>
      <c r="EH7" s="1294"/>
      <c r="EI7" s="1294"/>
      <c r="EJ7" s="1294"/>
      <c r="EK7" s="1294"/>
      <c r="EL7" s="1294"/>
      <c r="EM7" s="1294"/>
      <c r="EN7" s="1294"/>
      <c r="EO7" s="1294"/>
      <c r="EP7" s="1294"/>
      <c r="EQ7" s="1294"/>
      <c r="ER7" s="1294"/>
      <c r="ES7" s="1294"/>
      <c r="ET7" s="1294"/>
      <c r="EU7" s="1294"/>
      <c r="EV7" s="1294"/>
      <c r="EW7" s="1294"/>
      <c r="EX7" s="951">
        <f>EX$66</f>
        <v>0</v>
      </c>
      <c r="EY7" s="109"/>
      <c r="EZ7" s="109"/>
      <c r="FA7" s="109"/>
      <c r="FB7" s="109"/>
      <c r="FC7" s="109"/>
      <c r="FD7" s="109"/>
      <c r="FE7" s="109"/>
      <c r="FF7" s="109"/>
      <c r="FG7" s="109"/>
      <c r="FH7" s="109"/>
      <c r="FI7" s="109"/>
      <c r="FJ7" s="109"/>
      <c r="FK7" s="109"/>
      <c r="FL7" s="109"/>
      <c r="FM7" s="75"/>
    </row>
    <row r="8" spans="1:169" s="108" customFormat="1" ht="12.75" hidden="1" customHeight="1">
      <c r="A8" s="44"/>
      <c r="B8" s="110" t="str">
        <f>Premises!$B$79&amp;" [s]"</f>
        <v>Customer cycle [s]</v>
      </c>
      <c r="C8" s="111">
        <f>INDEX(Premises!$A$79:$F$79,1,MATCH($BZ7,Premises!$A$10:$F$10,0))</f>
        <v>518.4</v>
      </c>
      <c r="D8" s="95"/>
      <c r="E8" s="71"/>
      <c r="F8" s="71"/>
      <c r="G8" s="96"/>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97"/>
      <c r="AT8" s="97"/>
      <c r="AU8" s="97"/>
      <c r="AV8" s="71"/>
      <c r="AW8" s="71"/>
      <c r="AX8" s="96"/>
      <c r="AY8" s="96"/>
      <c r="AZ8" s="71"/>
      <c r="BA8" s="71"/>
      <c r="BB8" s="71"/>
      <c r="BC8" s="71"/>
      <c r="BD8" s="71"/>
      <c r="BE8" s="71"/>
      <c r="BF8" s="71"/>
      <c r="BG8" s="71"/>
      <c r="BH8" s="71"/>
      <c r="BI8" s="71"/>
      <c r="BJ8" s="71"/>
      <c r="BK8" s="71"/>
      <c r="BL8" s="71"/>
      <c r="BM8" s="71"/>
      <c r="BN8" s="71"/>
      <c r="BO8" s="71"/>
      <c r="BP8" s="97"/>
      <c r="BQ8" s="97"/>
      <c r="BR8" s="97"/>
      <c r="BS8" s="97"/>
      <c r="BT8" s="97"/>
      <c r="BU8" s="112"/>
      <c r="BV8" s="99"/>
      <c r="BW8" s="99"/>
      <c r="BX8" s="100"/>
      <c r="BY8" s="101"/>
      <c r="BZ8" s="113"/>
      <c r="CA8" s="102"/>
      <c r="CB8" s="103"/>
      <c r="CC8" s="70"/>
      <c r="CD8" s="74"/>
      <c r="CE8" s="70"/>
      <c r="CF8" s="75"/>
      <c r="CG8" s="74"/>
      <c r="CH8" s="70"/>
      <c r="CI8" s="70"/>
      <c r="CJ8" s="75"/>
      <c r="CK8" s="70"/>
      <c r="CL8" s="70"/>
      <c r="CM8" s="74"/>
      <c r="CN8" s="104"/>
      <c r="CO8" s="105"/>
      <c r="CP8" s="104"/>
      <c r="CQ8" s="106"/>
      <c r="CR8" s="106"/>
      <c r="CS8" s="107"/>
      <c r="CT8" s="75"/>
      <c r="CV8" s="71"/>
      <c r="CW8" s="71"/>
      <c r="CX8" s="71"/>
      <c r="CY8" s="71"/>
      <c r="CZ8" s="71"/>
      <c r="DA8" s="71"/>
      <c r="DB8" s="71"/>
      <c r="DC8" s="114"/>
      <c r="DD8" s="71"/>
      <c r="DE8" s="71"/>
      <c r="DF8" s="71"/>
      <c r="DG8" s="114"/>
      <c r="DH8" s="114"/>
      <c r="DI8" s="114"/>
      <c r="DJ8" s="114"/>
      <c r="DK8" s="71"/>
      <c r="DL8" s="71"/>
      <c r="DM8" s="71"/>
      <c r="DN8" s="71"/>
      <c r="DO8" s="71"/>
      <c r="DP8" s="71"/>
      <c r="DQ8" s="71"/>
      <c r="DR8" s="71"/>
      <c r="DS8" s="71"/>
      <c r="DT8" s="71"/>
      <c r="DU8" s="71"/>
      <c r="DV8" s="71"/>
      <c r="DW8" s="71"/>
      <c r="DX8" s="71"/>
      <c r="DY8" s="71"/>
      <c r="DZ8" s="71"/>
      <c r="EA8" s="71"/>
      <c r="EB8" s="71"/>
      <c r="ED8" s="115"/>
      <c r="EE8" s="115"/>
      <c r="EF8" s="115"/>
      <c r="EG8" s="115"/>
      <c r="EH8" s="115"/>
      <c r="EI8" s="115"/>
      <c r="EJ8" s="115"/>
      <c r="EK8" s="115"/>
      <c r="EL8" s="115"/>
      <c r="EM8" s="115"/>
      <c r="EN8" s="115"/>
      <c r="EO8" s="115"/>
      <c r="EP8" s="115"/>
      <c r="EQ8" s="115"/>
      <c r="ER8" s="115"/>
      <c r="ES8" s="115"/>
      <c r="ET8" s="115"/>
      <c r="EU8" s="115"/>
      <c r="EV8" s="115"/>
      <c r="EW8" s="115"/>
      <c r="EX8" s="116"/>
      <c r="FJ8" s="114"/>
      <c r="FK8" s="114"/>
      <c r="FL8" s="114"/>
      <c r="FM8" s="75"/>
    </row>
    <row r="9" spans="1:169" s="108" customFormat="1" ht="4.5" hidden="1" customHeight="1">
      <c r="A9" s="44"/>
      <c r="B9" s="117"/>
      <c r="C9" s="118"/>
      <c r="D9" s="95"/>
      <c r="E9" s="71"/>
      <c r="F9" s="71"/>
      <c r="G9" s="96"/>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97"/>
      <c r="AT9" s="97"/>
      <c r="AU9" s="97"/>
      <c r="AV9" s="71"/>
      <c r="AW9" s="71"/>
      <c r="AX9" s="96"/>
      <c r="AY9" s="96"/>
      <c r="AZ9" s="71"/>
      <c r="BA9" s="71"/>
      <c r="BB9" s="71"/>
      <c r="BC9" s="71"/>
      <c r="BD9" s="71"/>
      <c r="BE9" s="71"/>
      <c r="BF9" s="71"/>
      <c r="BG9" s="71"/>
      <c r="BH9" s="71"/>
      <c r="BI9" s="71"/>
      <c r="BJ9" s="71"/>
      <c r="BK9" s="71"/>
      <c r="BL9" s="71"/>
      <c r="BM9" s="71"/>
      <c r="BN9" s="71"/>
      <c r="BO9" s="71"/>
      <c r="BP9" s="97"/>
      <c r="BQ9" s="97"/>
      <c r="BR9" s="97"/>
      <c r="BS9" s="97"/>
      <c r="BT9" s="97"/>
      <c r="BU9" s="112"/>
      <c r="BV9" s="99"/>
      <c r="BW9" s="99"/>
      <c r="BX9" s="100"/>
      <c r="BY9" s="101"/>
      <c r="BZ9" s="113"/>
      <c r="CA9" s="102"/>
      <c r="CB9" s="103"/>
      <c r="CC9" s="70"/>
      <c r="CD9" s="74"/>
      <c r="CE9" s="70"/>
      <c r="CF9" s="75"/>
      <c r="CG9" s="74"/>
      <c r="CH9" s="70"/>
      <c r="CI9" s="70"/>
      <c r="CJ9" s="75"/>
      <c r="CK9" s="70"/>
      <c r="CL9" s="70"/>
      <c r="CM9" s="74"/>
      <c r="CN9" s="104"/>
      <c r="CO9" s="105"/>
      <c r="CP9" s="104"/>
      <c r="CQ9" s="106"/>
      <c r="CR9" s="106"/>
      <c r="CS9" s="107"/>
      <c r="CT9" s="75"/>
      <c r="CV9" s="71"/>
      <c r="CW9" s="71"/>
      <c r="CX9" s="71"/>
      <c r="CY9" s="71"/>
      <c r="CZ9" s="71"/>
      <c r="DA9" s="71"/>
      <c r="DB9" s="71"/>
      <c r="DC9" s="114"/>
      <c r="DD9" s="71"/>
      <c r="DE9" s="71"/>
      <c r="DF9" s="71"/>
      <c r="DG9" s="114"/>
      <c r="DH9" s="114"/>
      <c r="DI9" s="114"/>
      <c r="DJ9" s="114"/>
      <c r="DK9" s="71"/>
      <c r="DL9" s="71"/>
      <c r="DM9" s="71"/>
      <c r="DN9" s="71"/>
      <c r="DO9" s="71"/>
      <c r="DP9" s="71"/>
      <c r="DQ9" s="71"/>
      <c r="DR9" s="71"/>
      <c r="DS9" s="71"/>
      <c r="DT9" s="71"/>
      <c r="DU9" s="71"/>
      <c r="DV9" s="71"/>
      <c r="DW9" s="71"/>
      <c r="DX9" s="71"/>
      <c r="DY9" s="71"/>
      <c r="DZ9" s="71"/>
      <c r="EA9" s="71"/>
      <c r="EB9" s="71"/>
      <c r="ED9" s="115"/>
      <c r="EE9" s="115"/>
      <c r="EF9" s="115"/>
      <c r="EG9" s="115"/>
      <c r="EH9" s="115"/>
      <c r="EI9" s="115"/>
      <c r="EJ9" s="115"/>
      <c r="EK9" s="115"/>
      <c r="EL9" s="115"/>
      <c r="EM9" s="115"/>
      <c r="EN9" s="115"/>
      <c r="EO9" s="115"/>
      <c r="EP9" s="115"/>
      <c r="EQ9" s="115"/>
      <c r="ER9" s="115"/>
      <c r="ES9" s="115"/>
      <c r="ET9" s="115"/>
      <c r="EU9" s="115"/>
      <c r="EV9" s="115"/>
      <c r="EW9" s="115"/>
      <c r="EX9" s="116"/>
      <c r="FJ9" s="114"/>
      <c r="FK9" s="114"/>
      <c r="FL9" s="114"/>
      <c r="FM9" s="75"/>
    </row>
    <row r="10" spans="1:169" s="108" customFormat="1" ht="4.5" customHeight="1">
      <c r="A10" s="44"/>
      <c r="B10" s="117"/>
      <c r="C10" s="118"/>
      <c r="D10" s="95"/>
      <c r="E10" s="71"/>
      <c r="F10" s="71"/>
      <c r="G10" s="96"/>
      <c r="H10" s="71"/>
      <c r="I10" s="71"/>
      <c r="J10" s="71"/>
      <c r="K10" s="71"/>
      <c r="L10" s="71"/>
      <c r="M10" s="71"/>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c r="AN10" s="71"/>
      <c r="AO10" s="71"/>
      <c r="AP10" s="71"/>
      <c r="AQ10" s="71"/>
      <c r="AR10" s="71"/>
      <c r="AS10" s="97"/>
      <c r="AT10" s="97"/>
      <c r="AU10" s="97"/>
      <c r="AV10" s="71"/>
      <c r="AW10" s="71"/>
      <c r="AX10" s="96"/>
      <c r="AY10" s="96"/>
      <c r="AZ10" s="71"/>
      <c r="BA10" s="71"/>
      <c r="BB10" s="71"/>
      <c r="BC10" s="71"/>
      <c r="BD10" s="71"/>
      <c r="BE10" s="71"/>
      <c r="BF10" s="71"/>
      <c r="BG10" s="71"/>
      <c r="BH10" s="71"/>
      <c r="BI10" s="71"/>
      <c r="BJ10" s="71"/>
      <c r="BK10" s="71"/>
      <c r="BL10" s="71"/>
      <c r="BM10" s="71"/>
      <c r="BN10" s="71"/>
      <c r="BO10" s="71"/>
      <c r="BP10" s="97"/>
      <c r="BQ10" s="97"/>
      <c r="BR10" s="97"/>
      <c r="BS10" s="97"/>
      <c r="BT10" s="97"/>
      <c r="BU10" s="112"/>
      <c r="BV10" s="99"/>
      <c r="BW10" s="99"/>
      <c r="BX10" s="100"/>
      <c r="BY10" s="101"/>
      <c r="BZ10" s="113"/>
      <c r="CA10" s="102"/>
      <c r="CB10" s="103"/>
      <c r="CC10" s="70"/>
      <c r="CD10" s="74"/>
      <c r="CE10" s="70"/>
      <c r="CF10" s="75"/>
      <c r="CG10" s="74"/>
      <c r="CH10" s="70"/>
      <c r="CI10" s="70"/>
      <c r="CJ10" s="75"/>
      <c r="CK10" s="70"/>
      <c r="CL10" s="70"/>
      <c r="CM10" s="74"/>
      <c r="CN10" s="104"/>
      <c r="CO10" s="105"/>
      <c r="CP10" s="104"/>
      <c r="CQ10" s="106"/>
      <c r="CR10" s="106"/>
      <c r="CS10" s="107"/>
      <c r="CT10" s="75"/>
      <c r="CV10" s="71"/>
      <c r="CW10" s="71"/>
      <c r="CX10" s="71"/>
      <c r="CY10" s="71"/>
      <c r="CZ10" s="71"/>
      <c r="DA10" s="71"/>
      <c r="DB10" s="71"/>
      <c r="DC10" s="114"/>
      <c r="DD10" s="71"/>
      <c r="DE10" s="71"/>
      <c r="DF10" s="71"/>
      <c r="DG10" s="114"/>
      <c r="DH10" s="114"/>
      <c r="DI10" s="114"/>
      <c r="DJ10" s="114"/>
      <c r="DK10" s="71"/>
      <c r="DL10" s="71"/>
      <c r="DM10" s="71"/>
      <c r="DN10" s="71"/>
      <c r="DO10" s="71"/>
      <c r="DP10" s="71"/>
      <c r="DQ10" s="71"/>
      <c r="DR10" s="71"/>
      <c r="DS10" s="71"/>
      <c r="DT10" s="71"/>
      <c r="DU10" s="71"/>
      <c r="DV10" s="71"/>
      <c r="DW10" s="71"/>
      <c r="DX10" s="71"/>
      <c r="DY10" s="71"/>
      <c r="DZ10" s="71"/>
      <c r="EA10" s="71"/>
      <c r="EB10" s="71"/>
      <c r="ED10" s="115"/>
      <c r="EE10" s="115"/>
      <c r="EF10" s="115"/>
      <c r="EG10" s="115"/>
      <c r="EH10" s="115"/>
      <c r="EI10" s="115"/>
      <c r="EJ10" s="115"/>
      <c r="EK10" s="115"/>
      <c r="EL10" s="115"/>
      <c r="EM10" s="115"/>
      <c r="EN10" s="115"/>
      <c r="EO10" s="115"/>
      <c r="EP10" s="115"/>
      <c r="EQ10" s="115"/>
      <c r="ER10" s="115"/>
      <c r="ES10" s="115"/>
      <c r="ET10" s="115"/>
      <c r="EU10" s="115"/>
      <c r="EV10" s="115"/>
      <c r="EW10" s="115"/>
      <c r="EX10" s="116"/>
      <c r="FJ10" s="114"/>
      <c r="FK10" s="114"/>
      <c r="FL10" s="114"/>
      <c r="FM10" s="75"/>
    </row>
    <row r="11" spans="1:169" s="963" customFormat="1" ht="4.5" customHeight="1">
      <c r="A11" s="954"/>
      <c r="B11" s="65" t="s">
        <v>940</v>
      </c>
      <c r="C11" s="65"/>
      <c r="D11" s="66" t="s">
        <v>35</v>
      </c>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t="s">
        <v>70</v>
      </c>
      <c r="BX11" s="954"/>
      <c r="BY11" s="65"/>
      <c r="BZ11" s="955" t="s">
        <v>408</v>
      </c>
      <c r="CA11" s="67"/>
      <c r="CB11" s="68"/>
      <c r="CC11" s="65"/>
      <c r="CD11" s="956"/>
      <c r="CE11" s="65"/>
      <c r="CF11" s="957"/>
      <c r="CG11" s="956"/>
      <c r="CH11" s="65"/>
      <c r="CI11" s="65"/>
      <c r="CJ11" s="957"/>
      <c r="CK11" s="65"/>
      <c r="CL11" s="65"/>
      <c r="CM11" s="956"/>
      <c r="CN11" s="958"/>
      <c r="CO11" s="959"/>
      <c r="CP11" s="958"/>
      <c r="CQ11" s="960"/>
      <c r="CR11" s="960"/>
      <c r="CS11" s="961"/>
      <c r="CT11" s="957"/>
      <c r="CU11" s="65"/>
      <c r="CV11" s="65"/>
      <c r="CW11" s="65"/>
      <c r="CX11" s="65"/>
      <c r="CY11" s="65"/>
      <c r="CZ11" s="65"/>
      <c r="DA11" s="65"/>
      <c r="DB11" s="65"/>
      <c r="DC11" s="954"/>
      <c r="DD11" s="65"/>
      <c r="DE11" s="65"/>
      <c r="DF11" s="65"/>
      <c r="DG11" s="954"/>
      <c r="DH11" s="954"/>
      <c r="DI11" s="954"/>
      <c r="DJ11" s="954"/>
      <c r="DK11" s="65"/>
      <c r="DL11" s="65"/>
      <c r="DM11" s="65"/>
      <c r="DN11" s="65"/>
      <c r="DO11" s="65"/>
      <c r="DP11" s="65"/>
      <c r="DQ11" s="65"/>
      <c r="DR11" s="65"/>
      <c r="DS11" s="65"/>
      <c r="DT11" s="65"/>
      <c r="DU11" s="65"/>
      <c r="DV11" s="65"/>
      <c r="DW11" s="65"/>
      <c r="DX11" s="65"/>
      <c r="DY11" s="65"/>
      <c r="DZ11" s="65"/>
      <c r="EA11" s="65"/>
      <c r="EB11" s="65"/>
      <c r="EC11" s="65"/>
      <c r="ED11" s="69"/>
      <c r="EE11" s="69"/>
      <c r="EF11" s="69"/>
      <c r="EG11" s="69"/>
      <c r="EH11" s="69"/>
      <c r="EI11" s="69"/>
      <c r="EJ11" s="69"/>
      <c r="EK11" s="69"/>
      <c r="EL11" s="69"/>
      <c r="EM11" s="69"/>
      <c r="EN11" s="69"/>
      <c r="EO11" s="69"/>
      <c r="EP11" s="69"/>
      <c r="EQ11" s="69"/>
      <c r="ER11" s="69"/>
      <c r="ES11" s="69"/>
      <c r="ET11" s="69"/>
      <c r="EU11" s="69"/>
      <c r="EV11" s="69"/>
      <c r="EW11" s="69"/>
      <c r="EX11" s="962"/>
      <c r="EY11" s="65"/>
      <c r="EZ11" s="65"/>
      <c r="FA11" s="65"/>
      <c r="FB11" s="65"/>
      <c r="FC11" s="65"/>
      <c r="FD11" s="65"/>
      <c r="FE11" s="65"/>
      <c r="FF11" s="65"/>
      <c r="FG11" s="65"/>
      <c r="FH11" s="65"/>
      <c r="FI11" s="65"/>
      <c r="FJ11" s="65" t="s">
        <v>2647</v>
      </c>
      <c r="FK11" s="65" t="s">
        <v>2648</v>
      </c>
      <c r="FL11" s="65" t="s">
        <v>233</v>
      </c>
      <c r="FM11" s="957"/>
    </row>
    <row r="12" spans="1:169" s="13" customFormat="1" ht="12.75" customHeight="1">
      <c r="A12" s="215"/>
      <c r="B12" s="370" t="str">
        <f>BOM!$A$3</f>
        <v>01 Apollo High PCB UI</v>
      </c>
      <c r="C12" s="371"/>
      <c r="D12" s="372" cm="1">
        <f t="array" ref="D12">IF($CG12=0,0,INDEX(BOM!$N:$N,$CG12))</f>
        <v>1</v>
      </c>
      <c r="E12" s="627" t="s">
        <v>664</v>
      </c>
      <c r="F12" s="627" t="s">
        <v>664</v>
      </c>
      <c r="G12" s="627" t="s">
        <v>664</v>
      </c>
      <c r="H12" s="627" t="s">
        <v>664</v>
      </c>
      <c r="I12" s="627" t="s">
        <v>664</v>
      </c>
      <c r="J12" s="627" t="s">
        <v>664</v>
      </c>
      <c r="K12" s="627" t="s">
        <v>664</v>
      </c>
      <c r="L12" s="627" t="s">
        <v>664</v>
      </c>
      <c r="M12" s="627" t="s">
        <v>664</v>
      </c>
      <c r="N12" s="627" t="s">
        <v>664</v>
      </c>
      <c r="O12" s="627" t="s">
        <v>664</v>
      </c>
      <c r="P12" s="627" t="s">
        <v>664</v>
      </c>
      <c r="Q12" s="627" t="s">
        <v>664</v>
      </c>
      <c r="R12" s="627" t="s">
        <v>664</v>
      </c>
      <c r="S12" s="627" t="s">
        <v>664</v>
      </c>
      <c r="T12" s="627" t="s">
        <v>664</v>
      </c>
      <c r="U12" s="627" t="s">
        <v>664</v>
      </c>
      <c r="V12" s="627" t="s">
        <v>664</v>
      </c>
      <c r="W12" s="627" t="s">
        <v>664</v>
      </c>
      <c r="X12" s="627" t="s">
        <v>664</v>
      </c>
      <c r="Y12" s="627" t="s">
        <v>664</v>
      </c>
      <c r="Z12" s="627" t="s">
        <v>664</v>
      </c>
      <c r="AA12" s="627" t="s">
        <v>664</v>
      </c>
      <c r="AB12" s="627" t="s">
        <v>664</v>
      </c>
      <c r="AC12" s="627" t="s">
        <v>664</v>
      </c>
      <c r="AD12" s="627" t="s">
        <v>664</v>
      </c>
      <c r="AE12" s="627" t="s">
        <v>664</v>
      </c>
      <c r="AF12" s="627" t="s">
        <v>664</v>
      </c>
      <c r="AG12" s="627" t="s">
        <v>664</v>
      </c>
      <c r="AH12" s="627" t="s">
        <v>664</v>
      </c>
      <c r="AI12" s="627" t="s">
        <v>664</v>
      </c>
      <c r="AJ12" s="627" t="s">
        <v>664</v>
      </c>
      <c r="AK12" s="627" t="s">
        <v>664</v>
      </c>
      <c r="AL12" s="627" t="s">
        <v>664</v>
      </c>
      <c r="AM12" s="627" t="s">
        <v>664</v>
      </c>
      <c r="AN12" s="627" t="s">
        <v>664</v>
      </c>
      <c r="AO12" s="627" t="s">
        <v>664</v>
      </c>
      <c r="AP12" s="627" t="s">
        <v>664</v>
      </c>
      <c r="AQ12" s="627" t="s">
        <v>664</v>
      </c>
      <c r="AR12" s="627" t="s">
        <v>664</v>
      </c>
      <c r="AS12" s="627" t="s">
        <v>664</v>
      </c>
      <c r="AT12" s="627" t="s">
        <v>664</v>
      </c>
      <c r="AU12" s="627" t="s">
        <v>664</v>
      </c>
      <c r="AV12" s="627" t="s">
        <v>664</v>
      </c>
      <c r="AW12" s="627" t="s">
        <v>664</v>
      </c>
      <c r="AX12" s="627" t="s">
        <v>664</v>
      </c>
      <c r="AY12" s="627" t="s">
        <v>664</v>
      </c>
      <c r="AZ12" s="627" t="s">
        <v>664</v>
      </c>
      <c r="BA12" s="627" t="s">
        <v>664</v>
      </c>
      <c r="BB12" s="627" t="s">
        <v>664</v>
      </c>
      <c r="BC12" s="627" t="s">
        <v>664</v>
      </c>
      <c r="BD12" s="627" t="s">
        <v>664</v>
      </c>
      <c r="BE12" s="627" t="s">
        <v>664</v>
      </c>
      <c r="BF12" s="627" t="s">
        <v>664</v>
      </c>
      <c r="BG12" s="627" t="s">
        <v>664</v>
      </c>
      <c r="BH12" s="627" t="s">
        <v>664</v>
      </c>
      <c r="BI12" s="627" t="s">
        <v>664</v>
      </c>
      <c r="BJ12" s="627" t="s">
        <v>664</v>
      </c>
      <c r="BK12" s="627" t="s">
        <v>664</v>
      </c>
      <c r="BL12" s="627" t="s">
        <v>664</v>
      </c>
      <c r="BM12" s="627" t="s">
        <v>664</v>
      </c>
      <c r="BN12" s="627" t="s">
        <v>664</v>
      </c>
      <c r="BO12" s="627" t="s">
        <v>664</v>
      </c>
      <c r="BP12" s="627" t="s">
        <v>664</v>
      </c>
      <c r="BQ12" s="627" t="s">
        <v>664</v>
      </c>
      <c r="BR12" s="627" t="s">
        <v>664</v>
      </c>
      <c r="BS12" s="898">
        <f>SUM(INDEX($BS:$BS,ROW()+1):INDEX($BS:$BS,$CE12))</f>
        <v>0</v>
      </c>
      <c r="BT12" s="898">
        <f>SUM(INDEX($BT:$BT,ROW()+1):INDEX($BT:$BT,$CE12))</f>
        <v>0</v>
      </c>
      <c r="BU12" s="627" t="s">
        <v>664</v>
      </c>
      <c r="BV12" s="626">
        <f>SUMPRODUCT($BS12:INDEX($BS:$BS,$CE12),$BU12:INDEX($BU:$BU,$CE12))</f>
        <v>0</v>
      </c>
      <c r="BW12" s="373">
        <f>$D12*$BV12</f>
        <v>0</v>
      </c>
      <c r="BX12" s="794" cm="1">
        <f t="array" ref="BX12">IF($CG12=0,0,IF(INDEX(BOM!$P:$P,$CG12)=0,0,
SUMPRODUCT($BW12:INDEX($BW:$BW,IFERROR(ROW()+MATCH($CL12,INDEX($CL:$CL,ROW()+1):INDEX($CL:$CL,MAX($CE:$CE)),0)-1,MAX($CE:$CE))),
($CL12:INDEX($CL:$CL,IFERROR(ROW()+MATCH($CL12,INDEX($CL:$CL,ROW()+1):INDEX($CL:$CL,MAX($CE:$CE)),0)-1,MAX($CE:$CE)))&gt;=$CL12)*1)
))</f>
        <v>21.140410337914346</v>
      </c>
      <c r="BY12" s="374"/>
      <c r="BZ12" s="375" cm="1">
        <f t="array" ref="BZ12">IF($CG12=0,0,INDEX(BOM!$M:$M,$CG12))</f>
        <v>1</v>
      </c>
      <c r="CA12" s="263">
        <f>IF($BZ12&gt;0,VALUE(LEFT($BZ12,IF(ISERROR(FIND("-",$BZ12)),LEN($BZ12),FIND("-",$BZ12)-1))),INDEX($BZ$1:BZ12,MATCH("",$A$1:A12,-1)))</f>
        <v>1</v>
      </c>
      <c r="CB12" s="263">
        <f>IF(LEN($BZ12)-LEN(SUBSTITUTE($BZ12,"-",))&gt;1,
VALUE(MID($BZ12,FIND("-",$BZ12)+1,FIND("-",$BZ12,FIND("-",$BZ12)+1)-FIND("-",$BZ12)-1)),0)</f>
        <v>0</v>
      </c>
      <c r="CC12" s="263">
        <f>IF(NOT(ISERROR(FIND("-",BZ12))),
VALUE(RIGHT($BZ12,LEN($BZ12)-IF(LEN($BZ12)-LEN(SUBSTITUTE($BZ12,"-",""))=1,FIND("-",$BZ12),FIND("-",$BZ12,FIND("-",$BZ12)+1)))),0)</f>
        <v>0</v>
      </c>
      <c r="CD12" s="376"/>
      <c r="CE12" s="263" cm="1">
        <f t="array" ref="CE12">ROW()+MATCH(TRUE,_xlfn.ISFORMULA(INDEX(BW:BW,ROW()+1):INDEX(BW:BW,ROW()+MaxNumberOfRowsPerBlock)),0)-1</f>
        <v>16</v>
      </c>
      <c r="CF12" s="377" cm="1">
        <f t="array" ref="CF12">IF(CL12=0,-1,IF(CL12=1,7,MAX(IF($CL$1:$CL12=CL12-1,ROW($CL$1:$CL12),0))))</f>
        <v>7</v>
      </c>
      <c r="CG12" s="376">
        <f>IFERROR(MATCH($B12,BOM!$A:$A,0),0)</f>
        <v>3</v>
      </c>
      <c r="CH12" s="263">
        <f>MATCH($CA12,Premises!$A$10:$F$10,0)</f>
        <v>4</v>
      </c>
      <c r="CI12" s="263"/>
      <c r="CJ12" s="377"/>
      <c r="CK12" s="263"/>
      <c r="CL12" s="263" cm="1">
        <f t="array" ref="CL12">IF($CG12=0,0,INDEX(BOM!$C:$C,$CG12))</f>
        <v>1</v>
      </c>
      <c r="CM12" s="378" cm="1">
        <f t="array" ref="CM12">IF($CG12=0,0,IF(OR($CF12&lt;0,AND(INDEX($CB:$CB,$CF12)=$CB12,INDEX($CC:$CC,$CF12)=$CC12)),0,IF(INDEX(BOM!$P:$P,$CG12)=0,$BT12,(SUMIF($CA12:INDEX($CA:$CA,IFERROR(ROW()+MATCH($CL12,INDEX($CL:$CL,ROW()+1):INDEX($CL:$CL,MAX($CE:$CE)),0)-1,MAX($CE:$CE))),$CA12,$BT12:INDEX($BT:$BT,IFERROR(ROW()+MATCH($CL12,INDEX($CL:$CL,ROW()+1):INDEX($CL:$CL,MAX($CE:$CE)),0)-1,MAX($CE:$CE))))+SUMIF($CB12:INDEX($CB:$CB,IFERROR(ROW()+MATCH($CL12,INDEX($CL:$CL,ROW()+1):INDEX($CL:$CL,MAX($CE:$CE)),0)-1,MAX($CE:$CE))),$CA12,$BT12:INDEX($BT:$BT,IFERROR(ROW()+MATCH($CL12,INDEX($CL:$CL,ROW()+1):INDEX($CL:$CL,MAX($CE:$CE)),0)-1,MAX($CE:$CE)))))/2)))</f>
        <v>0</v>
      </c>
      <c r="CN12" s="379" cm="1">
        <f t="array" ref="CN12">IFERROR(IF($CB12=0,0,IF($CM12=0,INDEX($CN$1:$CN12,$CF12),INDEX(IF($CM12&lt;0.2,Premises!$A$43:$F$43,IF($CM12&lt;5,Premises!$A$46:$F$46,Premises!$A$49:$F$49)),MATCH($CB12,Premises!$A$10:$F$10,0))/($CM12*INDEX(Premises!$A$13:$F$13,MATCH($CB12,Premises!$A$10:$F$10,0)))+INDEX(IF($CM12&lt;0.2,Premises!$A$44:$F$44,IF($CM12&lt;5,Premises!$A$47:$F$47,Premises!$A$50:$F$50)),MATCH($CB12,Premises!$A$10:$F$10,0))+INDEX(IF($CM12&lt;0.2,Premises!$A$45:$F$45,IF($CM12&lt;5,Premises!$A$48:$F$48,Premises!$A$51:$F$51)),MATCH($CB12,Premises!$A$10:$F$10,0))/$CM12)),0.01)</f>
        <v>0</v>
      </c>
      <c r="CO12" s="378" cm="1">
        <f t="array" ref="CO12">IF($CG12=0,0,IF(INDEX($CC:$CC,$CF12)=$CC12,0,$CM12*(1+IFERROR(INDEX(Premises!$A$52:$F$52,1,MATCH($CB12,Premises!$A$10:$F$10,0)),0)+$CN12)))</f>
        <v>0</v>
      </c>
      <c r="CP12" s="379" cm="1">
        <f t="array" ref="CP12">IFERROR(IF($CC12=0,0,IF($CO12=0,INDEX($CP$1:$CP12,$CF12),INDEX(IF($CO12&lt;0.2,Premises!$A$43:$F$43,IF($CO12&lt;5,Premises!$A$46:$F$46,Premises!$A$49:$F$49)),MATCH($CC12,Premises!$A$10:$F$10,0))/($CO12*INDEX(Premises!$A$13:$F$13,MATCH($CC12,Premises!$A$10:$F$10,0)))+INDEX(IF($CO12&lt;0.2,Premises!$A$44:$F$44,IF($CO12&lt;5,Premises!$A$47:$F$47,Premises!$A$50:$F$50)),MATCH($CC12,Premises!$A$10:$F$10,0))+INDEX(IF($CO12&lt;0.2,Premises!$A$45:$F$45,IF($CO12&lt;5,Premises!$A$48:$F$48,Premises!$A$51:$F$51)),MATCH($CC12,Premises!$A$10:$F$10,0))/$CO12)),0.01)</f>
        <v>0</v>
      </c>
      <c r="CQ12" s="380" cm="1">
        <f t="array" ref="CQ12">IF(AND($CM12=0,$CO12=0),0,INDEX(BOM!$O:$O,$CG12))</f>
        <v>0</v>
      </c>
      <c r="CR12" s="381" cm="1">
        <f t="array" ref="CR12">IF(OR($CM12=0,$CN12=0),0,ACOS(COS(RADIANS(90-INDEX(Premises!$A$66:$F$66,1,$CH12)))*COS(RADIANS(90-INDEX(Premises!$A$66:$F$66,1,MATCH($CB12,Premises!$A$10:$F$10,0))))
+SIN(RADIANS(90-INDEX(Premises!$A$66:$F$66,1,$CH12)))*SIN(RADIANS(90-INDEX(Premises!$A$66:$F$66,1,MATCH($CB12,Premises!$A$10:$F$10,0)))) * COS(RADIANS(INDEX(Premises!$A$67:$F$67,1,$CH12)-INDEX(Premises!$A$67:$F$67,1,MATCH($CB12,Premises!$A$10:$F$10,0)))))*6371)</f>
        <v>0</v>
      </c>
      <c r="CS12" s="381" cm="1">
        <f t="array" ref="CS12">IF(OR($CO12=0,$CP12=0),0,
IF($CR12=0,ACOS(COS(RADIANS(90-INDEX(Premises!$A$66:$F$66,1,$CH12)))*COS(RADIANS(90-INDEX(Premises!$A$66:$F$66,1,MATCH($CC12,Premises!$A$10:$F$10,0))))
+SIN(RADIANS(90-INDEX(Premises!$A$66:$F$66,1,$CH12)))*SIN(RADIANS(90-INDEX(Premises!$A$66:$F$66,1,MATCH($CC12,Premises!$A$10:$F$10,0))))*COS(RADIANS(INDEX(Premises!$A$67:$F$67,1,$CH12)-INDEX(Premises!$A$67:$F$67,1,MATCH($CC12,Premises!$A$10:$F$10,0)))))*6371,
ACOS(COS(RADIANS(90-INDEX(Premises!$A$66:$F$66,1,MATCH($CB12,Premises!$A$10:$F$10,0))))*COS(RADIANS(90-INDEX(Premises!$A$66:$F$66,1,MATCH($CC12,Premises!$A$10:$F$10,0))))
+SIN(RADIANS(90-INDEX(Premises!$A$66:$F$66,1,MATCH($CB12,Premises!$A$10:$F$10,0))))*SIN(RADIANS(90-INDEX(Premises!$A$66:$F$66,1,MATCH($CC12,Premises!$A$10:$F$10,0))))*COS(RADIANS(INDEX(Premises!$A$67:$F$67,1,MATCH($CB12,Premises!$A$10:$F$10,0))-INDEX(Premises!$A$67:$F$67,1,MATCH($CC12,Premises!$A$10:$F$10,0)))))*6371))</f>
        <v>0</v>
      </c>
      <c r="CT12" s="947"/>
      <c r="CU12" s="2"/>
      <c r="CV12" s="382">
        <f>SUM(INDEX(CV:CV,ROW()+1):INDEX(CV:CV,$CE12))</f>
        <v>0</v>
      </c>
      <c r="CW12" s="383">
        <f>SUM(INDEX(CW:CW,ROW()+1):INDEX(CW:CW,$CE12))</f>
        <v>0</v>
      </c>
      <c r="CX12" s="383">
        <f>SUM(INDEX(CX:CX,ROW()+1):INDEX(CX:CX,$CE12))</f>
        <v>0</v>
      </c>
      <c r="CY12" s="383">
        <f>SUM(INDEX(CY:CY,ROW()+1):INDEX(CY:CY,$CE12))</f>
        <v>0</v>
      </c>
      <c r="CZ12" s="383">
        <f>SUM(INDEX(CZ:CZ,ROW()+1):INDEX(CZ:CZ,$CE12))</f>
        <v>0</v>
      </c>
      <c r="DA12" s="383">
        <f>SUM(INDEX(DA:DA,ROW()+1):INDEX(DA:DA,$CE12))</f>
        <v>0</v>
      </c>
      <c r="DB12" s="383">
        <f>SUM(INDEX(DB:DB,ROW()+1):INDEX(DB:DB,$CE12))</f>
        <v>0</v>
      </c>
      <c r="DC12" s="383">
        <f>SUM(INDEX(DC:DC,ROW()+1):INDEX(DC:DC,$CE12))</f>
        <v>0</v>
      </c>
      <c r="DD12" s="383">
        <f>SUM(INDEX(DD:DD,ROW()+1):INDEX(DD:DD,$CE12))</f>
        <v>0</v>
      </c>
      <c r="DE12" s="383">
        <f>SUM(INDEX(DE:DE,ROW()+1):INDEX(DE:DE,$CE12))</f>
        <v>0</v>
      </c>
      <c r="DF12" s="383">
        <f>SUM(INDEX(DF:DF,ROW()+1):INDEX(DF:DF,$CE12))</f>
        <v>0</v>
      </c>
      <c r="DG12" s="383">
        <f>SUM(INDEX(DG:DG,ROW()+1):INDEX(DG:DG,$CE12))</f>
        <v>0</v>
      </c>
      <c r="DH12" s="383">
        <f>SUM(INDEX(DH:DH,ROW()+1):INDEX(DH:DH,$CE12))</f>
        <v>0</v>
      </c>
      <c r="DI12" s="383">
        <f>SUM(INDEX(DI:DI,ROW()+1):INDEX(DI:DI,$CE12))</f>
        <v>0</v>
      </c>
      <c r="DJ12" s="383">
        <f>SUM(INDEX(DJ:DJ,ROW()+1):INDEX(DJ:DJ,$CE12))</f>
        <v>0</v>
      </c>
      <c r="DK12" s="383">
        <f>SUM(INDEX(DK:DK,ROW()+1):INDEX(DK:DK,$CE12))</f>
        <v>0</v>
      </c>
      <c r="DL12" s="383">
        <f>SUM(INDEX(DL:DL,ROW()+1):INDEX(DL:DL,$CE12))</f>
        <v>0</v>
      </c>
      <c r="DM12" s="383">
        <f>SUM(INDEX(DM:DM,ROW()+1):INDEX(DM:DM,$CE12))</f>
        <v>0</v>
      </c>
      <c r="DN12" s="383">
        <f>SUM(INDEX(DN:DN,ROW()+1):INDEX(DN:DN,$CE12))</f>
        <v>0</v>
      </c>
      <c r="DO12" s="383">
        <f>SUM(INDEX(DO:DO,ROW()+1):INDEX(DO:DO,$CE12))</f>
        <v>0</v>
      </c>
      <c r="DP12" s="383">
        <f>SUM(INDEX(DP:DP,ROW()+1):INDEX(DP:DP,$CE12))</f>
        <v>0</v>
      </c>
      <c r="DQ12" s="383">
        <f>SUM(INDEX(DQ:DQ,ROW()+1):INDEX(DQ:DQ,$CE12))</f>
        <v>0</v>
      </c>
      <c r="DR12" s="383">
        <f>SUM(INDEX(DR:DR,ROW()+1):INDEX(DR:DR,$CE12))</f>
        <v>0</v>
      </c>
      <c r="DS12" s="383">
        <f>SUM(INDEX(DS:DS,ROW()+1):INDEX(DS:DS,$CE12))</f>
        <v>0</v>
      </c>
      <c r="DT12" s="383">
        <f>SUM(INDEX(DT:DT,ROW()+1):INDEX(DT:DT,$CE12))</f>
        <v>0</v>
      </c>
      <c r="DU12" s="383">
        <f>SUM(INDEX(DU:DU,ROW()+1):INDEX(DU:DU,$CE12))</f>
        <v>0</v>
      </c>
      <c r="DV12" s="383">
        <f>SUM(INDEX(DV:DV,ROW()+1):INDEX(DV:DV,$CE12))</f>
        <v>0</v>
      </c>
      <c r="DW12" s="383">
        <f>SUM(INDEX(DW:DW,ROW()+1):INDEX(DW:DW,$CE12))</f>
        <v>0</v>
      </c>
      <c r="DX12" s="383">
        <f>SUM(INDEX(DX:DX,ROW()+1):INDEX(DX:DX,$CE12))</f>
        <v>0</v>
      </c>
      <c r="DY12" s="383">
        <f>SUM(INDEX(DY:DY,ROW()+1):INDEX(DY:DY,$CE12))</f>
        <v>0</v>
      </c>
      <c r="DZ12" s="383">
        <f>SUM(INDEX(DZ:DZ,ROW()+1):INDEX(DZ:DZ,$CE12))</f>
        <v>0</v>
      </c>
      <c r="EA12" s="383">
        <f>SUM(INDEX(EA:EA,ROW()+1):INDEX(EA:EA,$CE12))</f>
        <v>0</v>
      </c>
      <c r="EB12" s="384">
        <f>SUM(INDEX(EB:EB,ROW()+1):INDEX(EB:EB,$CE12))</f>
        <v>0</v>
      </c>
      <c r="EC12" s="783"/>
      <c r="ED12" s="382"/>
      <c r="EE12" s="383"/>
      <c r="EF12" s="1090"/>
      <c r="EG12" s="1090"/>
      <c r="EH12" s="1090"/>
      <c r="EI12" s="1090"/>
      <c r="EJ12" s="1090"/>
      <c r="EK12" s="1090"/>
      <c r="EL12" s="1090"/>
      <c r="EM12" s="1090"/>
      <c r="EN12" s="1090"/>
      <c r="EO12" s="1090"/>
      <c r="EP12" s="1090"/>
      <c r="EQ12" s="1090"/>
      <c r="ER12" s="1090"/>
      <c r="ES12" s="1090"/>
      <c r="ET12" s="1090"/>
      <c r="EU12" s="1090"/>
      <c r="EV12" s="1090"/>
      <c r="EW12" s="1090"/>
      <c r="EX12" s="1091"/>
      <c r="EY12" s="2"/>
      <c r="EZ12" s="2"/>
      <c r="FA12" s="2"/>
      <c r="FB12" s="2"/>
      <c r="FC12" s="2"/>
      <c r="FD12" s="2"/>
      <c r="FE12" s="2"/>
      <c r="FF12" s="2"/>
      <c r="FG12" s="2"/>
      <c r="FH12" s="2"/>
      <c r="FI12" s="2"/>
      <c r="FJ12" s="382"/>
      <c r="FK12" s="383"/>
      <c r="FL12" s="384"/>
      <c r="FM12" s="947"/>
    </row>
    <row r="13" spans="1:169" s="13" customFormat="1" ht="12.75" customHeight="1">
      <c r="A13" s="215"/>
      <c r="B13" s="385" t="s">
        <v>905</v>
      </c>
      <c r="C13" s="386"/>
      <c r="D13" s="629"/>
      <c r="E13" s="387"/>
      <c r="F13" s="388"/>
      <c r="G13" s="388"/>
      <c r="H13" s="388"/>
      <c r="I13" s="620" cm="1">
        <f t="array" ref="I13">IF($CI13=0,0,IFERROR(INDEX(MHR[],$CI13,MATCH($CA13,MHR!$B$4:$AY$4,0)),0))</f>
        <v>0</v>
      </c>
      <c r="J13" s="617">
        <f>IF(COUNTBLANK($E13:$H13),0,IFERROR($F13/$H13/IF($G13="s",3600,IF($G13="min",60,IF($G13="h",1,0)))*I13,0))</f>
        <v>0</v>
      </c>
      <c r="K13" s="389"/>
      <c r="L13" s="390"/>
      <c r="M13" s="849"/>
      <c r="N13" s="390"/>
      <c r="O13" s="388"/>
      <c r="P13" s="628" cm="1">
        <f t="array" ref="P13">IF($K13=0,0,IFERROR(ROUNDUP(IF(ISNUMBER($K13),$K13,INDEX($D$1:$D13,$CD13)*INDEX(Premises!$A$13:$F$13,1,$CH13)/IF(OR($K13="T",$K13="D"),250,IF($K13="W",50,IF($K13="M",12,IF(OR($K13="HJ",$K13="HY"),2,IF(OR($K13="J",$K13="Y"),1,0)))))),0),0))</f>
        <v>0</v>
      </c>
      <c r="Q13" s="620" cm="1">
        <f t="array" ref="Q13">IF($K13=0,0,IFERROR(INDEX(Premises!$A$22:$F$22,1,$CH13)*100/INDEX(Premises!$A$16:$F$16,1,$CH13),0))</f>
        <v>0</v>
      </c>
      <c r="R13" s="617">
        <f>IF($P13=0,0,IFERROR(($L13/60*($I13+$Q13*$M13)+($N13/60*($Q13*$O13)))/$P13,0))</f>
        <v>0</v>
      </c>
      <c r="S13" s="391"/>
      <c r="T13" s="392"/>
      <c r="U13" s="620" cm="1">
        <f t="array" ref="U13">IF(COUNTBLANK($S13:$T13),0,
IF(AND(INDEX(MHR[Schichtmodell],$CI13)&lt;&gt;0,INDEX(MHR[Schichtmodell],$CI13)&lt;&gt;INDEX(Premises!$A$20:$F$20,1,$CH13)),ExchangeRate*
IF(OR($T13="M",$T13="U"),IF(INDEX(MHR[Schichtmodell],$CI13)=1,INDEX(LOC[M1S],INDEX(Premises!$A$18:$F$18,1,$CH13+1)),IF(INDEX(MHR[Schichtmodell],$CI13)=2,INDEX(LOC[M2S],INDEX(Premises!$A$18:$F$18,1,$CH13+1),IF(INDEX(MHR[Schichtmodell],$CI13)=3,INDEX(LOC[M3S],INDEX(Premises!$A$18:$F$18,1,$CH13+1)),0)))),
IF(INDEX(MHR[Schichtmodell],$CI13)=1,INDEX(LOC[F1S],INDEX(Premises!$A$18:$F$18,1,$CH13+1)),IF(INDEX(MHR[Schichtmodell],$CI13)=2,INDEX(LOC[F2S],INDEX(Premises!$A$18:$F$18,1,$CH13+1)),IF(INDEX(MHR[Schichtmodell],$CI13)=3,INDEX(LOC[F3S],INDEX(Premises!$A$18:$F$18,1,$CH13+1)),0)))),
IF(OR($T13="M",$T13="U"),INDEX(Premises!$A$21:$F$21,1,$CH13),
IF(OR($T13="F",$T13="S"),INDEX(Premises!$A$22:$F$22,1,$CH13),0)))*100/INDEX(Premises!$A$16:$F$16,1,$CH13))</f>
        <v>0</v>
      </c>
      <c r="V13" s="614">
        <f>IF($U13=0,0,IFERROR($F13/$H13/IF($G13="s",3600,IF($G13="min",60,IF($G13="h",1,0)))*$S13*$U13,0))</f>
        <v>0</v>
      </c>
      <c r="W13" s="393"/>
      <c r="X13" s="386"/>
      <c r="Y13" s="394"/>
      <c r="Z13" s="395"/>
      <c r="AA13" s="611">
        <f>IFERROR($X13*$Z13/$Y13/MAX(1,$H13),0)</f>
        <v>0</v>
      </c>
      <c r="AB13" s="393"/>
      <c r="AC13" s="386"/>
      <c r="AD13" s="394"/>
      <c r="AE13" s="396"/>
      <c r="AF13" s="611">
        <f>IFERROR($AC13*$AE13/$AD13,0)</f>
        <v>0</v>
      </c>
      <c r="AG13" s="612" cm="1">
        <f t="array" ref="AG13">IF(($J13+$V13+$AF13)=0,0,INDEX(Premises!$A$30:$F$30,1,$CH13)/100)</f>
        <v>0</v>
      </c>
      <c r="AH13" s="397"/>
      <c r="AI13" s="398"/>
      <c r="AJ13" s="399"/>
      <c r="AK13" s="613">
        <f>IF(COUNTBLANK($AH13:$AI13),0,$AH13*$AI13*$AG13)</f>
        <v>0</v>
      </c>
      <c r="AL13" s="614">
        <f>($AK13+$AJ13*$AG13*(1-$AH13)+($J13+$V13+$AF13)*$AG13*(1-$AH13))</f>
        <v>0</v>
      </c>
      <c r="AM13" s="615" cm="1">
        <f t="array" ref="AM13">IF($CI13=0,0,IFERROR(INDEX(MHR[],$CI13,MATCH($CA13,MHR!$B$4:$AY$4,0)+11),0))</f>
        <v>0</v>
      </c>
      <c r="AN13" s="616" cm="1">
        <f t="array" ref="AN13">IF(($J13+$V13)=0,0,IFERROR(IF(INDEX(Premises!$A$41:$F$41,1,$CH13)&lt;&gt;0,INDEX(Premises!$A$41:$F$41,1,$CH13)/100,(IFERROR(($J13/$I13)*$AM13,0)/($V13+$J13+$R13+$AL13))),0))</f>
        <v>0</v>
      </c>
      <c r="AO13" s="617">
        <f>IF(($J13+$V13)=0,0,IF(IFERROR(($J13+$R13+$V13+$AL13)*$AN13,0)&lt;&gt;IFERROR(($J13/$I13)*$AM13,0),($J13+$R13+$V13+$AL13)*$AN13,IFERROR(($J13/$I13)*$AM13,0)))</f>
        <v>0</v>
      </c>
      <c r="AP13" s="618">
        <f>$V13+$J13+$R13+$AA13+$AF13+$AL13+$AO13</f>
        <v>0</v>
      </c>
      <c r="AQ13" s="393" t="str">
        <f>BOM!$A$4</f>
        <v>01-01 PCB UI</v>
      </c>
      <c r="AR13" s="392">
        <f>VLOOKUP($AQ13,BOM,6,0)</f>
        <v>1</v>
      </c>
      <c r="AS13" s="619" cm="1">
        <f t="array" ref="AS13">IF($CJ13=0,0,IFERROR(INDEX(MAT[Einheit],$CJ13,1),0))</f>
        <v>0</v>
      </c>
      <c r="AT13" s="620" cm="1">
        <f t="array" ref="AT13">IF($CJ13=0,0,IFERROR(INDEX(MAT[Preis],$CJ13,1),0))</f>
        <v>0</v>
      </c>
      <c r="AU13" s="621">
        <f>$AR13*$AT13</f>
        <v>0</v>
      </c>
      <c r="AV13" s="622" cm="1">
        <f t="array" ref="AV13">IF($AU13&lt;=0,0,INDEX(Premises!$A$30:$F$30,1,$CH13)/100)</f>
        <v>0</v>
      </c>
      <c r="AW13" s="392"/>
      <c r="AX13" s="614">
        <f>IF($AV13=0,0,($AU13+$AW13)*$AV13)</f>
        <v>0</v>
      </c>
      <c r="AY13" s="623" cm="1">
        <f t="array" ref="AY13">IF($AT13&lt;=0,0,IFERROR(IF(INDEX(Premises!$A$42:$F$42,1,$CH13)&lt;&gt;0,INDEX(Premises!$A$42:$F$42,1,$CH13)/100,(INDEX(MAT[],$CJ13,MATCH($CA13,MAT!$B$4:$AE$4,0))/($AR13*$CK13*INDEX(Premises!$A$13:$F$13,1,$CH13))+INDEX(MAT[],$CJ13,MATCH($CA13,MAT!$B$4:$AE$4,0)+7))/$AT13),0))</f>
        <v>0</v>
      </c>
      <c r="AZ13" s="614">
        <f>IF($AY13=0,0,($AU13+$AX13)*$AY13)</f>
        <v>0</v>
      </c>
      <c r="BA13" s="618">
        <f>$AU13+$AX13+$AZ13</f>
        <v>0</v>
      </c>
      <c r="BB13" s="618">
        <f>$AP13+$BA13</f>
        <v>0</v>
      </c>
      <c r="BC13" s="622" cm="1">
        <f t="array" ref="BC13">IF($BB13&lt;=0,0,IF(BC$2=-1,0,INDEX(Premises!$A$32:$F$32,1,$CH13)/100))</f>
        <v>0</v>
      </c>
      <c r="BD13" s="614">
        <f>IF($AP13&lt;=0,0,($AP13-$AA13-$AL13)*$BC13)</f>
        <v>0</v>
      </c>
      <c r="BE13" s="622" cm="1">
        <f t="array" ref="BE13">IF($BB13&lt;=0,0,IF(BE$2=-1,0,INDEX(Premises!$A$33:$F$33,1,$CH13)/100))</f>
        <v>0</v>
      </c>
      <c r="BF13" s="614">
        <f>IF($BA13&lt;=0,0,$BA13*$BE13)</f>
        <v>0</v>
      </c>
      <c r="BG13" s="622" cm="1">
        <f t="array" ref="BG13">IF($BB13&lt;=0,0,IF(BG$2=-1,0,INDEX(Premises!$A$31:$F$31,1,$CH13)/100))</f>
        <v>0</v>
      </c>
      <c r="BH13" s="614">
        <f>(($AP13-$AA13-$AL13)+$BA13)*$BG13</f>
        <v>0</v>
      </c>
      <c r="BI13" s="618">
        <f>$BB13+$BD13+$BF13+$BH13</f>
        <v>0</v>
      </c>
      <c r="BJ13" s="622" cm="1">
        <f t="array" ref="BJ13">IF($BB13&lt;=0,0,IF(BJ$2=-1,0,INDEX(Premises!$A$35:$F$35,1,$CH13)/100))</f>
        <v>0</v>
      </c>
      <c r="BK13" s="614">
        <f>IF($AP13&lt;=0,0,($AP13-$AL13-$AA13)*$BJ13)</f>
        <v>0</v>
      </c>
      <c r="BL13" s="622" cm="1">
        <f t="array" ref="BL13">IF($BB13&lt;=0,0,IF(BL$2=-1,0,INDEX(Premises!$A$36:$F$36,1,$CH13)/100))</f>
        <v>0</v>
      </c>
      <c r="BM13" s="614">
        <f>IF($AU13&lt;=0,0,($AR13*$AT13)*$BL13)</f>
        <v>0</v>
      </c>
      <c r="BN13" s="622" cm="1">
        <f t="array" ref="BN13">IF($BB13&lt;=0,0,IF(BN$2=-1,0,INDEX(Premises!$A$34:$F$34,1,$CH13)/100))</f>
        <v>0</v>
      </c>
      <c r="BO13" s="614">
        <f>(($AP13-$AL13-$AA13)+($AR13*$AT13))*$BN13</f>
        <v>0</v>
      </c>
      <c r="BP13" s="622" cm="1">
        <f t="array" ref="BP13">IF($BI13=0,0,INDEX(Premises!$A$37:$F$37,1,$CH13)/100)</f>
        <v>0</v>
      </c>
      <c r="BQ13" s="392"/>
      <c r="BR13" s="614">
        <f>($BI13+$BK13+$BM13+$BO13)*$BP13+$BQ13</f>
        <v>0</v>
      </c>
      <c r="BS13" s="624">
        <f>BI13+BK13+BM13+BO13+BR13</f>
        <v>0</v>
      </c>
      <c r="BT13" s="624">
        <f>IF($BS13=0,0,$CK13*$BS13)</f>
        <v>0</v>
      </c>
      <c r="BU13" s="625">
        <f>IF($BT13=0,0,MAX(1,$EB13/$DP13))</f>
        <v>0</v>
      </c>
      <c r="BV13" s="400"/>
      <c r="BW13" s="401"/>
      <c r="BX13" s="401"/>
      <c r="BY13" s="402"/>
      <c r="BZ13" s="946"/>
      <c r="CA13" s="263" cm="1">
        <f t="array" ref="CA13">IF($BZ13&gt;0,VALUE(LEFT($BZ13,IF(ISERROR(FIND("-",$BZ13)),LEN($BZ13),FIND("-",$BZ13)-1))),INDEX($CA$1:$CA13,MAX(1,$CD13)))</f>
        <v>1</v>
      </c>
      <c r="CB13" s="263" cm="1">
        <f t="array" ref="CB13">IF($BT13=0,0,IF(LEN($BZ13)-LEN(SUBSTITUTE($BZ13,"-",""))&gt;1,
VALUE(MID($BZ13,FIND("-",$BZ13)+1,FIND("-",$BZ13,FIND("-",$BZ13)+1)-FIND("-",$BZ13)-1)),IF($BZ13&gt;0,0,INDEX($CB$1:$CB13,MAX(1,$CD13)))))</f>
        <v>0</v>
      </c>
      <c r="CC13" s="263" cm="1">
        <f t="array" ref="CC13">IF($BT13=0,0,IF(NOT(ISERROR(FIND("-",BZ13))),
VALUE(RIGHT($BZ13,LEN($BZ13)-IF(LEN($BZ13)-LEN(SUBSTITUTE($BZ13,"-",""))=1,FIND("-",$BZ13),FIND("-",$BZ13,FIND("-",$BZ13)+1)))),
IF($BZ13&gt;0,0,INDEX($CC$1:$CC13,MAX(1,$CD13)))))</f>
        <v>0</v>
      </c>
      <c r="CD13" s="376">
        <f>MATCH(0,$CE$1:$CE13,-1)</f>
        <v>12</v>
      </c>
      <c r="CE13" s="263"/>
      <c r="CF13" s="377"/>
      <c r="CG13" s="376" cm="1">
        <f t="array" ref="CG13">INDEX($CG$1:$CG13,$CD13)</f>
        <v>3</v>
      </c>
      <c r="CH13" s="263">
        <f>MATCH($CA13,Premises!$A$10:$F$10,0)</f>
        <v>4</v>
      </c>
      <c r="CI13" s="263">
        <f>IF(ISBLANK($E13),0,IFERROR(MATCH($E13,MHR[Bezeichnung],0),0))</f>
        <v>0</v>
      </c>
      <c r="CJ13" s="377">
        <f>IF(ISBLANK($AQ13),0,IFERROR(MATCH($AQ13,MAT[Bezeichnung],0),0))</f>
        <v>0</v>
      </c>
      <c r="CK13" s="263" cm="1">
        <f t="array" ref="CK13">INDEX($D$1:$D13,$CD13)</f>
        <v>1</v>
      </c>
      <c r="CL13" s="263"/>
      <c r="CM13" s="378"/>
      <c r="CN13" s="379" cm="1">
        <f t="array" ref="CN13">IF($CB13=0,0,IF($CB13=INDEX($CB$1:$CB13,$CD13),INDEX($CN$1:$CN13,$CD13),$CP13))</f>
        <v>0</v>
      </c>
      <c r="CO13" s="378"/>
      <c r="CP13" s="379" cm="1">
        <f t="array" ref="CP13">IF($CC13=0,0,INDEX($CP$1:$CP13,$CD13))</f>
        <v>0</v>
      </c>
      <c r="CQ13" s="380"/>
      <c r="CR13" s="381"/>
      <c r="CS13" s="381"/>
      <c r="CT13" s="948"/>
      <c r="CU13" s="2"/>
      <c r="CV13" s="630">
        <f>$J13*$CK13</f>
        <v>0</v>
      </c>
      <c r="CW13" s="631">
        <f>$R13*$CK13</f>
        <v>0</v>
      </c>
      <c r="CX13" s="631">
        <f>$V13*$CK13</f>
        <v>0</v>
      </c>
      <c r="CY13" s="631">
        <f>$AA13*$CK13</f>
        <v>0</v>
      </c>
      <c r="CZ13" s="631">
        <f>$AF13*$CK13</f>
        <v>0</v>
      </c>
      <c r="DA13" s="631">
        <f>$AL13*$CK13</f>
        <v>0</v>
      </c>
      <c r="DB13" s="631">
        <f>$AO13*$CK13</f>
        <v>0</v>
      </c>
      <c r="DC13" s="632">
        <f>$AP13*$CK13</f>
        <v>0</v>
      </c>
      <c r="DD13" s="631">
        <f>$AU13*$CK13</f>
        <v>0</v>
      </c>
      <c r="DE13" s="631">
        <f>$AX13*$CK13</f>
        <v>0</v>
      </c>
      <c r="DF13" s="631">
        <f>$AZ13*$CK13</f>
        <v>0</v>
      </c>
      <c r="DG13" s="632">
        <f>$BA13*$CK13</f>
        <v>0</v>
      </c>
      <c r="DH13" s="632">
        <f>$BB13*$CK13</f>
        <v>0</v>
      </c>
      <c r="DI13" s="631">
        <f>$BD13*$CK13</f>
        <v>0</v>
      </c>
      <c r="DJ13" s="631">
        <f>$BF13*$CK13</f>
        <v>0</v>
      </c>
      <c r="DK13" s="631">
        <f>$BH13*$CK13</f>
        <v>0</v>
      </c>
      <c r="DL13" s="631">
        <f>$BK13*$CK13</f>
        <v>0</v>
      </c>
      <c r="DM13" s="631">
        <f>$BM13*$CK13</f>
        <v>0</v>
      </c>
      <c r="DN13" s="631">
        <f>$BO13*$CK13</f>
        <v>0</v>
      </c>
      <c r="DO13" s="631">
        <f>$BR13*$CK13</f>
        <v>0</v>
      </c>
      <c r="DP13" s="634">
        <f>$CK13*($BB13+$BD13+$BF13+$BH13+$BK13+$BM13+$BO13+$BR13)</f>
        <v>0</v>
      </c>
      <c r="DQ13" s="929">
        <f>IF($CB13=0,0,$DP13*_xlfn.XLOOKUP($CB13,Premises!$A$10:$F$10,Premises!$A$30:$F$30)/100)</f>
        <v>0</v>
      </c>
      <c r="DR13" s="633">
        <f>IFERROR(SUM($DP13:$DQ13)*IF(INDEX(Premises!$A$42:$F$42,1,MATCH($CB13,Premises!$A$10:$F$10,0))&gt;0,INDEX(Premises!$A$42:$F$42,1,MATCH($CB13,Premises!$A$10:$F$10,0))%,$CN13),0)</f>
        <v>0</v>
      </c>
      <c r="DS13" s="633" cm="1">
        <f t="array" ref="DS13">IF($CB13=0,0,SUM($DP13:$DR13)*_xlfn.XLOOKUP($CB13,Premises!$A$10:$F$10,IF(INDEX(Settings[],MATCH(3001,Settings[ID],0),2)="B",Premises!$A$33:$F$33,Premises!$A$31:$F$31))/100)</f>
        <v>0</v>
      </c>
      <c r="DT13" s="633" cm="1">
        <f t="array" ref="DT13">IF($CB13=0,0,$DP13*_xlfn.XLOOKUP($CB13,Premises!$A$10:$F$10,IF(INDEX(Settings[],MATCH(3002,Settings[ID],0),2)="B",Premises!$A$36:$F$36,Premises!$A$34:$F$34))/100)</f>
        <v>0</v>
      </c>
      <c r="DU13" s="633">
        <f>IF($CB13=0,0,SUM($DP13:$DT13)*_xlfn.XLOOKUP($CB13,Premises!$A$10:$F$10,Premises!$A$37:$F$37)/100)</f>
        <v>0</v>
      </c>
      <c r="DV13" s="932">
        <f>SUM($DP13:$DU13)</f>
        <v>0</v>
      </c>
      <c r="DW13" s="929">
        <f>IF($CC13=0,0,$DV13*_xlfn.XLOOKUP($CC13,Premises!$A$10:$F$10,Premises!$A$30:$F$30)/100)</f>
        <v>0</v>
      </c>
      <c r="DX13" s="633">
        <f>IFERROR(SUM($DV13:$DW13)*IF(INDEX(Premises!$A$42:$F$42,1,MATCH($CC13,Premises!$A$10:$F$10,0))&gt;0,INDEX(Premises!$A$42:$F$42,1,MATCH($CC13,Premises!$A$10:$F$10,0))%,$CP13),0)</f>
        <v>0</v>
      </c>
      <c r="DY13" s="633" cm="1">
        <f t="array" ref="DY13">IF($CC13=0,0,SUM($DV13:$DX13)*_xlfn.XLOOKUP($CC13,Premises!$A$10:$F$10,IF(INDEX(Settings[],MATCH(3001,Settings[ID],0),2)="B",Premises!$A$33:$F$33,Premises!$A$31:$F$31))/100)</f>
        <v>0</v>
      </c>
      <c r="DZ13" s="633" cm="1">
        <f t="array" ref="DZ13">IF($CC13=0,0,$DV13*_xlfn.XLOOKUP($CC13,Premises!$A$10:$F$10,IF(INDEX(Settings[],MATCH(3002,Settings[ID],0),2)="B",Premises!$A$36:$F$36,Premises!$A$34:$F$34))/100)</f>
        <v>0</v>
      </c>
      <c r="EA13" s="633">
        <f>IF($CC13=0,0,SUM($DV13:$DZ13)*_xlfn.XLOOKUP($CC13,Premises!$A$10:$F$10,Premises!$A$37:$F$37)/100)</f>
        <v>0</v>
      </c>
      <c r="EB13" s="634">
        <f>SUM($DV13:$EA13)</f>
        <v>0</v>
      </c>
      <c r="EC13" s="783"/>
      <c r="ED13" s="1082"/>
      <c r="EE13" s="633"/>
      <c r="EF13" s="1088"/>
      <c r="EG13" s="1086"/>
      <c r="EH13" s="1086"/>
      <c r="EI13" s="1086"/>
      <c r="EJ13" s="1086"/>
      <c r="EK13" s="1086"/>
      <c r="EL13" s="1086"/>
      <c r="EM13" s="1088"/>
      <c r="EN13" s="1086"/>
      <c r="EO13" s="1086"/>
      <c r="EP13" s="1086"/>
      <c r="EQ13" s="1086"/>
      <c r="ER13" s="1088"/>
      <c r="ES13" s="1086"/>
      <c r="ET13" s="1086"/>
      <c r="EU13" s="1086"/>
      <c r="EV13" s="1086"/>
      <c r="EW13" s="1086"/>
      <c r="EX13" s="1089"/>
      <c r="EY13" s="2"/>
      <c r="EZ13" s="2"/>
      <c r="FA13" s="2"/>
      <c r="FB13" s="2"/>
      <c r="FC13" s="2"/>
      <c r="FD13" s="2"/>
      <c r="FE13" s="2"/>
      <c r="FF13" s="2"/>
      <c r="FG13" s="2"/>
      <c r="FH13" s="2"/>
      <c r="FI13" s="2"/>
      <c r="FJ13" s="403"/>
      <c r="FK13" s="404"/>
      <c r="FL13" s="405"/>
      <c r="FM13" s="948"/>
    </row>
    <row r="14" spans="1:169" s="13" customFormat="1" ht="12.75" customHeight="1">
      <c r="A14" s="215"/>
      <c r="B14" s="385"/>
      <c r="C14" s="386"/>
      <c r="D14" s="629"/>
      <c r="E14" s="387"/>
      <c r="F14" s="388"/>
      <c r="G14" s="388"/>
      <c r="H14" s="388"/>
      <c r="I14" s="620" cm="1">
        <f t="array" ref="I14">IF($CI14=0,0,IFERROR(INDEX(MHR[],$CI14,MATCH($CA14,MHR!$B$4:$AY$4,0)),0))</f>
        <v>0</v>
      </c>
      <c r="J14" s="617">
        <f>IF(COUNTBLANK($E14:$H14),0,IFERROR($F14/$H14/IF($G14="s",3600,IF($G14="min",60,IF($G14="h",1,0)))*I14,0))</f>
        <v>0</v>
      </c>
      <c r="K14" s="389"/>
      <c r="L14" s="390"/>
      <c r="M14" s="849"/>
      <c r="N14" s="390"/>
      <c r="O14" s="388"/>
      <c r="P14" s="628" cm="1">
        <f t="array" ref="P14">IF($K14=0,0,IFERROR(ROUNDUP(IF(ISNUMBER($K14),$K14,INDEX($D$1:$D14,$CD14)*INDEX(Premises!$A$13:$F$13,1,$CH14)/IF(OR($K14="T",$K14="D"),250,IF($K14="W",50,IF($K14="M",12,IF(OR($K14="HJ",$K14="HY"),2,IF(OR($K14="J",$K14="Y"),1,0)))))),0),0))</f>
        <v>0</v>
      </c>
      <c r="Q14" s="620" cm="1">
        <f t="array" ref="Q14">IF($K14=0,0,IFERROR(INDEX(Premises!$A$22:$F$22,1,$CH14)*100/INDEX(Premises!$A$16:$F$16,1,$CH14),0))</f>
        <v>0</v>
      </c>
      <c r="R14" s="617">
        <f>IF($P14=0,0,IFERROR(($L14/60*($I14+$Q14*$M14)+($N14/60*($Q14*$O14)))/$P14,0))</f>
        <v>0</v>
      </c>
      <c r="S14" s="391"/>
      <c r="T14" s="392"/>
      <c r="U14" s="620" cm="1">
        <f t="array" ref="U14">IF(COUNTBLANK($S14:$T14),0,
IF(AND(INDEX(MHR[Schichtmodell],$CI14)&lt;&gt;0,INDEX(MHR[Schichtmodell],$CI14)&lt;&gt;INDEX(Premises!$A$20:$F$20,1,$CH14)),ExchangeRate*
IF(OR($T14="M",$T14="U"),IF(INDEX(MHR[Schichtmodell],$CI14)=1,INDEX(LOC[M1S],INDEX(Premises!$A$18:$F$18,1,$CH14+1)),IF(INDEX(MHR[Schichtmodell],$CI14)=2,INDEX(LOC[M2S],INDEX(Premises!$A$18:$F$18,1,$CH14+1),IF(INDEX(MHR[Schichtmodell],$CI14)=3,INDEX(LOC[M3S],INDEX(Premises!$A$18:$F$18,1,$CH14+1)),0)))),
IF(INDEX(MHR[Schichtmodell],$CI14)=1,INDEX(LOC[F1S],INDEX(Premises!$A$18:$F$18,1,$CH14+1)),IF(INDEX(MHR[Schichtmodell],$CI14)=2,INDEX(LOC[F2S],INDEX(Premises!$A$18:$F$18,1,$CH14+1)),IF(INDEX(MHR[Schichtmodell],$CI14)=3,INDEX(LOC[F3S],INDEX(Premises!$A$18:$F$18,1,$CH14+1)),0)))),
IF(OR($T14="M",$T14="U"),INDEX(Premises!$A$21:$F$21,1,$CH14),
IF(OR($T14="F",$T14="S"),INDEX(Premises!$A$22:$F$22,1,$CH14),0)))*100/INDEX(Premises!$A$16:$F$16,1,$CH14))</f>
        <v>0</v>
      </c>
      <c r="V14" s="614">
        <f>IF($U14=0,0,IFERROR($F14/$H14/IF($G14="s",3600,IF($G14="min",60,IF($G14="h",1,0)))*$S14*$U14,0))</f>
        <v>0</v>
      </c>
      <c r="W14" s="393"/>
      <c r="X14" s="386"/>
      <c r="Y14" s="394"/>
      <c r="Z14" s="395"/>
      <c r="AA14" s="611">
        <f>IFERROR($X14*$Z14/$Y14/MAX(1,$H14),0)</f>
        <v>0</v>
      </c>
      <c r="AB14" s="393"/>
      <c r="AC14" s="386"/>
      <c r="AD14" s="394"/>
      <c r="AE14" s="396"/>
      <c r="AF14" s="611">
        <f>IFERROR($AC14*$AE14/$AD14,0)</f>
        <v>0</v>
      </c>
      <c r="AG14" s="612" cm="1">
        <f t="array" ref="AG14">IF(($J14+$V14+$AF14)=0,0,INDEX(Premises!$A$30:$F$30,1,$CH14)/100)</f>
        <v>0</v>
      </c>
      <c r="AH14" s="397"/>
      <c r="AI14" s="398"/>
      <c r="AJ14" s="399"/>
      <c r="AK14" s="613">
        <f>IF(COUNTBLANK($AH14:$AI14),0,$AH14*$AI14*$AG14)</f>
        <v>0</v>
      </c>
      <c r="AL14" s="614">
        <f>($AK14+$AJ14*$AG14*(1-$AH14)+($J14+$V14+$AF14)*$AG14*(1-$AH14))</f>
        <v>0</v>
      </c>
      <c r="AM14" s="615" cm="1">
        <f t="array" ref="AM14">IF($CI14=0,0,IFERROR(INDEX(MHR[],$CI14,MATCH($CA14,MHR!$B$4:$AY$4,0)+11),0))</f>
        <v>0</v>
      </c>
      <c r="AN14" s="616" cm="1">
        <f t="array" ref="AN14">IF(($J14+$V14)=0,0,IFERROR(IF(INDEX(Premises!$A$41:$F$41,1,$CH14)&lt;&gt;0,INDEX(Premises!$A$41:$F$41,1,$CH14)/100,(IFERROR(($J14/$I14)*$AM14,0)/($V14+$J14+$R14+$AL14))),0))</f>
        <v>0</v>
      </c>
      <c r="AO14" s="617">
        <f>IF(($J14+$V14)=0,0,IF(IFERROR(($J14+$R14+$V14+$AL14)*$AN14,0)&lt;&gt;IFERROR(($J14/$I14)*$AM14,0),($J14+$R14+$V14+$AL14)*$AN14,IFERROR(($J14/$I14)*$AM14,0)))</f>
        <v>0</v>
      </c>
      <c r="AP14" s="618">
        <f>$V14+$J14+$R14+$AA14+$AF14+$AL14+$AO14</f>
        <v>0</v>
      </c>
      <c r="AQ14" s="393"/>
      <c r="AR14" s="392"/>
      <c r="AS14" s="619" cm="1">
        <f t="array" ref="AS14">IF($CJ14=0,0,IFERROR(INDEX(MAT[Einheit],$CJ14,1),0))</f>
        <v>0</v>
      </c>
      <c r="AT14" s="620" cm="1">
        <f t="array" ref="AT14">IF($CJ14=0,0,IFERROR(INDEX(MAT[Preis],$CJ14,1),0))</f>
        <v>0</v>
      </c>
      <c r="AU14" s="621">
        <f>$AR14*$AT14</f>
        <v>0</v>
      </c>
      <c r="AV14" s="622" cm="1">
        <f t="array" ref="AV14">IF($AU14&lt;=0,0,INDEX(Premises!$A$30:$F$30,1,$CH14)/100)</f>
        <v>0</v>
      </c>
      <c r="AW14" s="392"/>
      <c r="AX14" s="614">
        <f>IF($AV14=0,0,($AU14+$AW14)*$AV14)</f>
        <v>0</v>
      </c>
      <c r="AY14" s="623" cm="1">
        <f t="array" ref="AY14">IF($AT14&lt;=0,0,IFERROR(IF(INDEX(Premises!$A$42:$F$42,1,$CH14)&lt;&gt;0,INDEX(Premises!$A$42:$F$42,1,$CH14)/100,(INDEX(MAT[],$CJ14,MATCH($CA14,MAT!$B$4:$AE$4,0))/($AR14*$CK14*INDEX(Premises!$A$13:$F$13,1,$CH14))+INDEX(MAT[],$CJ14,MATCH($CA14,MAT!$B$4:$AE$4,0)+7))/$AT14),0))</f>
        <v>0</v>
      </c>
      <c r="AZ14" s="614">
        <f>IF($AY14=0,0,($AU14+$AX14)*$AY14)</f>
        <v>0</v>
      </c>
      <c r="BA14" s="618">
        <f>$AU14+$AX14+$AZ14</f>
        <v>0</v>
      </c>
      <c r="BB14" s="618">
        <f>$AP14+$BA14</f>
        <v>0</v>
      </c>
      <c r="BC14" s="622" cm="1">
        <f t="array" ref="BC14">IF($BB14&lt;=0,0,IF(BC$2=-1,0,INDEX(Premises!$A$32:$F$32,1,$CH14)/100))</f>
        <v>0</v>
      </c>
      <c r="BD14" s="614">
        <f>IF($AP14&lt;=0,0,($AP14-$AA14-$AL14)*$BC14)</f>
        <v>0</v>
      </c>
      <c r="BE14" s="622" cm="1">
        <f t="array" ref="BE14">IF($BB14&lt;=0,0,IF(BE$2=-1,0,INDEX(Premises!$A$33:$F$33,1,$CH14)/100))</f>
        <v>0</v>
      </c>
      <c r="BF14" s="614">
        <f>IF($BA14&lt;=0,0,$BA14*$BE14)</f>
        <v>0</v>
      </c>
      <c r="BG14" s="622" cm="1">
        <f t="array" ref="BG14">IF($BB14&lt;=0,0,IF(BG$2=-1,0,INDEX(Premises!$A$31:$F$31,1,$CH14)/100))</f>
        <v>0</v>
      </c>
      <c r="BH14" s="614">
        <f>(($AP14-$AA14-$AL14)+$BA14)*$BG14</f>
        <v>0</v>
      </c>
      <c r="BI14" s="618">
        <f>$BB14+$BD14+$BF14+$BH14</f>
        <v>0</v>
      </c>
      <c r="BJ14" s="622" cm="1">
        <f t="array" ref="BJ14">IF($BB14&lt;=0,0,IF(BJ$2=-1,0,INDEX(Premises!$A$35:$F$35,1,$CH14)/100))</f>
        <v>0</v>
      </c>
      <c r="BK14" s="614">
        <f>IF($AP14&lt;=0,0,($AP14-$AL14-$AA14)*$BJ14)</f>
        <v>0</v>
      </c>
      <c r="BL14" s="622" cm="1">
        <f t="array" ref="BL14">IF($BB14&lt;=0,0,IF(BL$2=-1,0,INDEX(Premises!$A$36:$F$36,1,$CH14)/100))</f>
        <v>0</v>
      </c>
      <c r="BM14" s="614">
        <f>IF($AU14&lt;=0,0,($AR14*$AT14)*$BL14)</f>
        <v>0</v>
      </c>
      <c r="BN14" s="622" cm="1">
        <f t="array" ref="BN14">IF($BB14&lt;=0,0,IF(BN$2=-1,0,INDEX(Premises!$A$34:$F$34,1,$CH14)/100))</f>
        <v>0</v>
      </c>
      <c r="BO14" s="614">
        <f>(($AP14-$AL14-$AA14)+($AR14*$AT14))*$BN14</f>
        <v>0</v>
      </c>
      <c r="BP14" s="622" cm="1">
        <f t="array" ref="BP14">IF($BI14=0,0,INDEX(Premises!$A$37:$F$37,1,$CH14)/100)</f>
        <v>0</v>
      </c>
      <c r="BQ14" s="392"/>
      <c r="BR14" s="614">
        <f>($BI14+$BK14+$BM14+$BO14)*$BP14+$BQ14</f>
        <v>0</v>
      </c>
      <c r="BS14" s="624">
        <f>BI14+BK14+BM14+BO14+BR14</f>
        <v>0</v>
      </c>
      <c r="BT14" s="624">
        <f>IF($BS14=0,0,$CK14*$BS14)</f>
        <v>0</v>
      </c>
      <c r="BU14" s="625">
        <f>IF($BT14=0,0,MAX(1,$EB14/$DP14))</f>
        <v>0</v>
      </c>
      <c r="BV14" s="400"/>
      <c r="BW14" s="401"/>
      <c r="BX14" s="401"/>
      <c r="BY14" s="402"/>
      <c r="BZ14" s="946"/>
      <c r="CA14" s="263" cm="1">
        <f t="array" ref="CA14">IF($BZ14&gt;0,VALUE(LEFT($BZ14,IF(ISERROR(FIND("-",$BZ14)),LEN($BZ14),FIND("-",$BZ14)-1))),INDEX($CA$1:$CA14,MAX(1,$CD14)))</f>
        <v>1</v>
      </c>
      <c r="CB14" s="263" cm="1">
        <f t="array" ref="CB14">IF($BT14=0,0,IF(LEN($BZ14)-LEN(SUBSTITUTE($BZ14,"-",""))&gt;1,
VALUE(MID($BZ14,FIND("-",$BZ14)+1,FIND("-",$BZ14,FIND("-",$BZ14)+1)-FIND("-",$BZ14)-1)),IF($BZ14&gt;0,0,INDEX($CB$1:$CB14,MAX(1,$CD14)))))</f>
        <v>0</v>
      </c>
      <c r="CC14" s="263" cm="1">
        <f t="array" ref="CC14">IF($BT14=0,0,IF(NOT(ISERROR(FIND("-",BZ14))),
VALUE(RIGHT($BZ14,LEN($BZ14)-IF(LEN($BZ14)-LEN(SUBSTITUTE($BZ14,"-",""))=1,FIND("-",$BZ14),FIND("-",$BZ14,FIND("-",$BZ14)+1)))),
IF($BZ14&gt;0,0,INDEX($CC$1:$CC14,MAX(1,$CD14)))))</f>
        <v>0</v>
      </c>
      <c r="CD14" s="376">
        <f>MATCH(0,$CE$1:$CE14,-1)</f>
        <v>12</v>
      </c>
      <c r="CE14" s="263"/>
      <c r="CF14" s="377"/>
      <c r="CG14" s="376" cm="1">
        <f t="array" ref="CG14">INDEX($CG$1:$CG14,$CD14)</f>
        <v>3</v>
      </c>
      <c r="CH14" s="263">
        <f>MATCH($CA14,Premises!$A$10:$F$10,0)</f>
        <v>4</v>
      </c>
      <c r="CI14" s="263">
        <f>IF(ISBLANK($E14),0,IFERROR(MATCH($E14,MHR[Bezeichnung],0),0))</f>
        <v>0</v>
      </c>
      <c r="CJ14" s="377">
        <f>IF(ISBLANK($AQ14),0,IFERROR(MATCH($AQ14,MAT[Bezeichnung],0),0))</f>
        <v>0</v>
      </c>
      <c r="CK14" s="263" cm="1">
        <f t="array" ref="CK14">INDEX($D$1:$D14,$CD14)</f>
        <v>1</v>
      </c>
      <c r="CL14" s="263"/>
      <c r="CM14" s="378"/>
      <c r="CN14" s="379" cm="1">
        <f t="array" ref="CN14">IF($CB14=0,0,IF($CB14=INDEX($CB$1:$CB14,$CD14),INDEX($CN$1:$CN14,$CD14),$CP14))</f>
        <v>0</v>
      </c>
      <c r="CO14" s="378"/>
      <c r="CP14" s="379" cm="1">
        <f t="array" ref="CP14">IF($CC14=0,0,INDEX($CP$1:$CP14,$CD14))</f>
        <v>0</v>
      </c>
      <c r="CQ14" s="380"/>
      <c r="CR14" s="381"/>
      <c r="CS14" s="381"/>
      <c r="CT14" s="948"/>
      <c r="CU14" s="2"/>
      <c r="CV14" s="630">
        <f>$J14*$CK14</f>
        <v>0</v>
      </c>
      <c r="CW14" s="631">
        <f>$R14*$CK14</f>
        <v>0</v>
      </c>
      <c r="CX14" s="631">
        <f>$V14*$CK14</f>
        <v>0</v>
      </c>
      <c r="CY14" s="631">
        <f>$AA14*$CK14</f>
        <v>0</v>
      </c>
      <c r="CZ14" s="631">
        <f>$AF14*$CK14</f>
        <v>0</v>
      </c>
      <c r="DA14" s="631">
        <f>$AL14*$CK14</f>
        <v>0</v>
      </c>
      <c r="DB14" s="631">
        <f>$AO14*$CK14</f>
        <v>0</v>
      </c>
      <c r="DC14" s="632">
        <f>$AP14*$CK14</f>
        <v>0</v>
      </c>
      <c r="DD14" s="631">
        <f>$AU14*$CK14</f>
        <v>0</v>
      </c>
      <c r="DE14" s="631">
        <f>$AX14*$CK14</f>
        <v>0</v>
      </c>
      <c r="DF14" s="631">
        <f>$AZ14*$CK14</f>
        <v>0</v>
      </c>
      <c r="DG14" s="632">
        <f>$BA14*$CK14</f>
        <v>0</v>
      </c>
      <c r="DH14" s="632">
        <f>$BB14*$CK14</f>
        <v>0</v>
      </c>
      <c r="DI14" s="631">
        <f>$BD14*$CK14</f>
        <v>0</v>
      </c>
      <c r="DJ14" s="631">
        <f>$BF14*$CK14</f>
        <v>0</v>
      </c>
      <c r="DK14" s="631">
        <f>$BH14*$CK14</f>
        <v>0</v>
      </c>
      <c r="DL14" s="631">
        <f>$BK14*$CK14</f>
        <v>0</v>
      </c>
      <c r="DM14" s="631">
        <f>$BM14*$CK14</f>
        <v>0</v>
      </c>
      <c r="DN14" s="631">
        <f>$BO14*$CK14</f>
        <v>0</v>
      </c>
      <c r="DO14" s="631">
        <f>$BR14*$CK14</f>
        <v>0</v>
      </c>
      <c r="DP14" s="634">
        <f>$CK14*($BB14+$BD14+$BF14+$BH14+$BK14+$BM14+$BO14+$BR14)</f>
        <v>0</v>
      </c>
      <c r="DQ14" s="929">
        <f>IF($CB14=0,0,$DP14*_xlfn.XLOOKUP($CB14,Premises!$A$10:$F$10,Premises!$A$30:$F$30)/100)</f>
        <v>0</v>
      </c>
      <c r="DR14" s="633">
        <f>IFERROR(SUM($DP14:$DQ14)*IF(INDEX(Premises!$A$42:$F$42,1,MATCH($CB14,Premises!$A$10:$F$10,0))&gt;0,INDEX(Premises!$A$42:$F$42,1,MATCH($CB14,Premises!$A$10:$F$10,0))%,$CN14),0)</f>
        <v>0</v>
      </c>
      <c r="DS14" s="633" cm="1">
        <f t="array" ref="DS14">IF($CB14=0,0,SUM($DP14:$DR14)*_xlfn.XLOOKUP($CB14,Premises!$A$10:$F$10,IF(INDEX(Settings[],MATCH(3001,Settings[ID],0),2)="B",Premises!$A$33:$F$33,Premises!$A$31:$F$31))/100)</f>
        <v>0</v>
      </c>
      <c r="DT14" s="633" cm="1">
        <f t="array" ref="DT14">IF($CB14=0,0,$DP14*_xlfn.XLOOKUP($CB14,Premises!$A$10:$F$10,IF(INDEX(Settings[],MATCH(3002,Settings[ID],0),2)="B",Premises!$A$36:$F$36,Premises!$A$34:$F$34))/100)</f>
        <v>0</v>
      </c>
      <c r="DU14" s="633">
        <f>IF($CB14=0,0,SUM($DP14:$DT14)*_xlfn.XLOOKUP($CB14,Premises!$A$10:$F$10,Premises!$A$37:$F$37)/100)</f>
        <v>0</v>
      </c>
      <c r="DV14" s="932">
        <f>SUM($DP14:$DU14)</f>
        <v>0</v>
      </c>
      <c r="DW14" s="929">
        <f>IF($CC14=0,0,$DV14*_xlfn.XLOOKUP($CC14,Premises!$A$10:$F$10,Premises!$A$30:$F$30)/100)</f>
        <v>0</v>
      </c>
      <c r="DX14" s="633">
        <f>IFERROR(SUM($DV14:$DW14)*IF(INDEX(Premises!$A$42:$F$42,1,MATCH($CC14,Premises!$A$10:$F$10,0))&gt;0,INDEX(Premises!$A$42:$F$42,1,MATCH($CC14,Premises!$A$10:$F$10,0))%,$CP14),0)</f>
        <v>0</v>
      </c>
      <c r="DY14" s="633" cm="1">
        <f t="array" ref="DY14">IF($CC14=0,0,SUM($DV14:$DX14)*_xlfn.XLOOKUP($CC14,Premises!$A$10:$F$10,IF(INDEX(Settings[],MATCH(3001,Settings[ID],0),2)="B",Premises!$A$33:$F$33,Premises!$A$31:$F$31))/100)</f>
        <v>0</v>
      </c>
      <c r="DZ14" s="633" cm="1">
        <f t="array" ref="DZ14">IF($CC14=0,0,$DV14*_xlfn.XLOOKUP($CC14,Premises!$A$10:$F$10,IF(INDEX(Settings[],MATCH(3002,Settings[ID],0),2)="B",Premises!$A$36:$F$36,Premises!$A$34:$F$34))/100)</f>
        <v>0</v>
      </c>
      <c r="EA14" s="633">
        <f>IF($CC14=0,0,SUM($DV14:$DZ14)*_xlfn.XLOOKUP($CC14,Premises!$A$10:$F$10,Premises!$A$37:$F$37)/100)</f>
        <v>0</v>
      </c>
      <c r="EB14" s="634">
        <f>SUM($DV14:$EA14)</f>
        <v>0</v>
      </c>
      <c r="EC14" s="783"/>
      <c r="ED14" s="1082"/>
      <c r="EE14" s="633"/>
      <c r="EF14" s="1088"/>
      <c r="EG14" s="1086"/>
      <c r="EH14" s="1086"/>
      <c r="EI14" s="1086"/>
      <c r="EJ14" s="1086"/>
      <c r="EK14" s="1086"/>
      <c r="EL14" s="1086"/>
      <c r="EM14" s="1088"/>
      <c r="EN14" s="1086"/>
      <c r="EO14" s="1086"/>
      <c r="EP14" s="1086"/>
      <c r="EQ14" s="1086"/>
      <c r="ER14" s="1088"/>
      <c r="ES14" s="1086"/>
      <c r="ET14" s="1086"/>
      <c r="EU14" s="1086"/>
      <c r="EV14" s="1086"/>
      <c r="EW14" s="1086"/>
      <c r="EX14" s="1089"/>
      <c r="EY14" s="2"/>
      <c r="EZ14" s="2"/>
      <c r="FA14" s="2"/>
      <c r="FB14" s="2"/>
      <c r="FC14" s="2"/>
      <c r="FD14" s="2"/>
      <c r="FE14" s="2"/>
      <c r="FF14" s="2"/>
      <c r="FG14" s="2"/>
      <c r="FH14" s="2"/>
      <c r="FI14" s="2"/>
      <c r="FJ14" s="403"/>
      <c r="FK14" s="404"/>
      <c r="FL14" s="405"/>
      <c r="FM14" s="948"/>
    </row>
    <row r="15" spans="1:169" s="13" customFormat="1" ht="12.75" customHeight="1">
      <c r="A15" s="215"/>
      <c r="B15" s="385" t="s">
        <v>207</v>
      </c>
      <c r="C15" s="386"/>
      <c r="D15" s="629"/>
      <c r="E15" s="387"/>
      <c r="F15" s="388"/>
      <c r="G15" s="388"/>
      <c r="H15" s="388"/>
      <c r="I15" s="620" cm="1">
        <f t="array" ref="I15">IF($CI15=0,0,IFERROR(INDEX(MHR[],$CI15,MATCH($CA15,MHR!$B$4:$AY$4,0)),0))</f>
        <v>0</v>
      </c>
      <c r="J15" s="617">
        <f>IF(COUNTBLANK($E15:$H15),0,IFERROR($F15/$H15/IF($G15="s",3600,IF($G15="min",60,IF($G15="h",1,0)))*I15,0))</f>
        <v>0</v>
      </c>
      <c r="K15" s="389"/>
      <c r="L15" s="390"/>
      <c r="M15" s="849"/>
      <c r="N15" s="390"/>
      <c r="O15" s="388"/>
      <c r="P15" s="628" cm="1">
        <f t="array" ref="P15">IF($K15=0,0,IFERROR(ROUNDUP(IF(ISNUMBER($K15),$K15,INDEX($D$1:$D15,$CD15)*INDEX(Premises!$A$13:$F$13,1,$CH15)/IF(OR($K15="T",$K15="D"),250,IF($K15="W",50,IF($K15="M",12,IF(OR($K15="HJ",$K15="HY"),2,IF(OR($K15="J",$K15="Y"),1,0)))))),0),0))</f>
        <v>0</v>
      </c>
      <c r="Q15" s="620" cm="1">
        <f t="array" ref="Q15">IF($K15=0,0,IFERROR(INDEX(Premises!$A$22:$F$22,1,$CH15)*100/INDEX(Premises!$A$16:$F$16,1,$CH15),0))</f>
        <v>0</v>
      </c>
      <c r="R15" s="617">
        <f>IF($P15=0,0,IFERROR(($L15/60*($I15+$Q15*$M15)+($N15/60*($Q15*$O15)))/$P15,0))</f>
        <v>0</v>
      </c>
      <c r="S15" s="391"/>
      <c r="T15" s="392"/>
      <c r="U15" s="620" cm="1">
        <f t="array" ref="U15">IF(COUNTBLANK($S15:$T15),0,
IF(AND(INDEX(MHR[Schichtmodell],$CI15)&lt;&gt;0,INDEX(MHR[Schichtmodell],$CI15)&lt;&gt;INDEX(Premises!$A$20:$F$20,1,$CH15)),ExchangeRate*
IF(OR($T15="M",$T15="U"),IF(INDEX(MHR[Schichtmodell],$CI15)=1,INDEX(LOC[M1S],INDEX(Premises!$A$18:$F$18,1,$CH15+1)),IF(INDEX(MHR[Schichtmodell],$CI15)=2,INDEX(LOC[M2S],INDEX(Premises!$A$18:$F$18,1,$CH15+1),IF(INDEX(MHR[Schichtmodell],$CI15)=3,INDEX(LOC[M3S],INDEX(Premises!$A$18:$F$18,1,$CH15+1)),0)))),
IF(INDEX(MHR[Schichtmodell],$CI15)=1,INDEX(LOC[F1S],INDEX(Premises!$A$18:$F$18,1,$CH15+1)),IF(INDEX(MHR[Schichtmodell],$CI15)=2,INDEX(LOC[F2S],INDEX(Premises!$A$18:$F$18,1,$CH15+1)),IF(INDEX(MHR[Schichtmodell],$CI15)=3,INDEX(LOC[F3S],INDEX(Premises!$A$18:$F$18,1,$CH15+1)),0)))),
IF(OR($T15="M",$T15="U"),INDEX(Premises!$A$21:$F$21,1,$CH15),
IF(OR($T15="F",$T15="S"),INDEX(Premises!$A$22:$F$22,1,$CH15),0)))*100/INDEX(Premises!$A$16:$F$16,1,$CH15))</f>
        <v>0</v>
      </c>
      <c r="V15" s="614">
        <f>IF($U15=0,0,IFERROR($F15/$H15/IF($G15="s",3600,IF($G15="min",60,IF($G15="h",1,0)))*$S15*$U15,0))</f>
        <v>0</v>
      </c>
      <c r="W15" s="393"/>
      <c r="X15" s="386"/>
      <c r="Y15" s="394"/>
      <c r="Z15" s="395"/>
      <c r="AA15" s="611">
        <f>IFERROR($X15*$Z15/$Y15/MAX(1,$H15),0)</f>
        <v>0</v>
      </c>
      <c r="AB15" s="393"/>
      <c r="AC15" s="386"/>
      <c r="AD15" s="394"/>
      <c r="AE15" s="396"/>
      <c r="AF15" s="611">
        <f>IFERROR($AC15*$AE15/$AD15,0)</f>
        <v>0</v>
      </c>
      <c r="AG15" s="612" cm="1">
        <f t="array" ref="AG15">IF(($J15+$V15+$AF15)=0,0,INDEX(Premises!$A$30:$F$30,1,$CH15)/100)</f>
        <v>0</v>
      </c>
      <c r="AH15" s="397"/>
      <c r="AI15" s="398"/>
      <c r="AJ15" s="399"/>
      <c r="AK15" s="613">
        <f>IF(COUNTBLANK($AH15:$AI15),0,$AH15*$AI15*$AG15)</f>
        <v>0</v>
      </c>
      <c r="AL15" s="614">
        <f>($AK15+$AJ15*$AG15*(1-$AH15)+($J15+$V15+$AF15)*$AG15*(1-$AH15))</f>
        <v>0</v>
      </c>
      <c r="AM15" s="615" cm="1">
        <f t="array" ref="AM15">IF($CI15=0,0,IFERROR(INDEX(MHR[],$CI15,MATCH($CA15,MHR!$B$4:$AY$4,0)+11),0))</f>
        <v>0</v>
      </c>
      <c r="AN15" s="616" cm="1">
        <f t="array" ref="AN15">IF(($J15+$V15)=0,0,IFERROR(IF(INDEX(Premises!$A$41:$F$41,1,$CH15)&lt;&gt;0,INDEX(Premises!$A$41:$F$41,1,$CH15)/100,(IFERROR(($J15/$I15)*$AM15,0)/($V15+$J15+$R15+$AL15))),0))</f>
        <v>0</v>
      </c>
      <c r="AO15" s="617">
        <f>IF(($J15+$V15)=0,0,IF(IFERROR(($J15+$R15+$V15+$AL15)*$AN15,0)&lt;&gt;IFERROR(($J15/$I15)*$AM15,0),($J15+$R15+$V15+$AL15)*$AN15,IFERROR(($J15/$I15)*$AM15,0)))</f>
        <v>0</v>
      </c>
      <c r="AP15" s="618">
        <f>$V15+$J15+$R15+$AA15+$AF15+$AL15+$AO15</f>
        <v>0</v>
      </c>
      <c r="AQ15" s="393"/>
      <c r="AR15" s="392"/>
      <c r="AS15" s="619" cm="1">
        <f t="array" ref="AS15">IF($CJ15=0,0,IFERROR(INDEX(MAT[Einheit],$CJ15,1),0))</f>
        <v>0</v>
      </c>
      <c r="AT15" s="620" cm="1">
        <f t="array" ref="AT15">IF($CJ15=0,0,IFERROR(INDEX(MAT[Preis],$CJ15,1),0))</f>
        <v>0</v>
      </c>
      <c r="AU15" s="621">
        <f>$AR15*$AT15</f>
        <v>0</v>
      </c>
      <c r="AV15" s="622" cm="1">
        <f t="array" ref="AV15">IF($AU15&lt;=0,0,INDEX(Premises!$A$30:$F$30,1,$CH15)/100)</f>
        <v>0</v>
      </c>
      <c r="AW15" s="392"/>
      <c r="AX15" s="614">
        <f>IF($AV15=0,0,($AU15+$AW15)*$AV15)</f>
        <v>0</v>
      </c>
      <c r="AY15" s="623" cm="1">
        <f t="array" ref="AY15">IF($AT15&lt;=0,0,IFERROR(IF(INDEX(Premises!$A$42:$F$42,1,$CH15)&lt;&gt;0,INDEX(Premises!$A$42:$F$42,1,$CH15)/100,(INDEX(MAT[],$CJ15,MATCH($CA15,MAT!$B$4:$AE$4,0))/($AR15*$CK15*INDEX(Premises!$A$13:$F$13,1,$CH15))+INDEX(MAT[],$CJ15,MATCH($CA15,MAT!$B$4:$AE$4,0)+7))/$AT15),0))</f>
        <v>0</v>
      </c>
      <c r="AZ15" s="614">
        <f>IF($AY15=0,0,($AU15+$AX15)*$AY15)</f>
        <v>0</v>
      </c>
      <c r="BA15" s="618">
        <f>$AU15+$AX15+$AZ15</f>
        <v>0</v>
      </c>
      <c r="BB15" s="618">
        <f>$AP15+$BA15</f>
        <v>0</v>
      </c>
      <c r="BC15" s="622" cm="1">
        <f t="array" ref="BC15">IF($BB15&lt;=0,0,IF(BC$2=-1,0,INDEX(Premises!$A$32:$F$32,1,$CH15)/100))</f>
        <v>0</v>
      </c>
      <c r="BD15" s="614">
        <f>IF($AP15&lt;=0,0,($AP15-$AA15-$AL15)*$BC15)</f>
        <v>0</v>
      </c>
      <c r="BE15" s="622" cm="1">
        <f t="array" ref="BE15">IF($BB15&lt;=0,0,IF(BE$2=-1,0,INDEX(Premises!$A$33:$F$33,1,$CH15)/100))</f>
        <v>0</v>
      </c>
      <c r="BF15" s="614">
        <f>IF($BA15&lt;=0,0,$BA15*$BE15)</f>
        <v>0</v>
      </c>
      <c r="BG15" s="622" cm="1">
        <f t="array" ref="BG15">IF($BB15&lt;=0,0,IF(BG$2=-1,0,INDEX(Premises!$A$31:$F$31,1,$CH15)/100))</f>
        <v>0</v>
      </c>
      <c r="BH15" s="614">
        <f>(($AP15-$AA15-$AL15)+$BA15)*$BG15</f>
        <v>0</v>
      </c>
      <c r="BI15" s="618">
        <f>$BB15+$BD15+$BF15+$BH15</f>
        <v>0</v>
      </c>
      <c r="BJ15" s="622" cm="1">
        <f t="array" ref="BJ15">IF($BB15&lt;=0,0,IF(BJ$2=-1,0,INDEX(Premises!$A$35:$F$35,1,$CH15)/100))</f>
        <v>0</v>
      </c>
      <c r="BK15" s="614">
        <f>IF($AP15&lt;=0,0,($AP15-$AL15-$AA15)*$BJ15)</f>
        <v>0</v>
      </c>
      <c r="BL15" s="622" cm="1">
        <f t="array" ref="BL15">IF($BB15&lt;=0,0,IF(BL$2=-1,0,INDEX(Premises!$A$36:$F$36,1,$CH15)/100))</f>
        <v>0</v>
      </c>
      <c r="BM15" s="614">
        <f>IF($AU15&lt;=0,0,($AR15*$AT15)*$BL15)</f>
        <v>0</v>
      </c>
      <c r="BN15" s="622" cm="1">
        <f t="array" ref="BN15">IF($BB15&lt;=0,0,IF(BN$2=-1,0,INDEX(Premises!$A$34:$F$34,1,$CH15)/100))</f>
        <v>0</v>
      </c>
      <c r="BO15" s="614">
        <f>(($AP15-$AL15-$AA15)+($AR15*$AT15))*$BN15</f>
        <v>0</v>
      </c>
      <c r="BP15" s="622" cm="1">
        <f t="array" ref="BP15">IF($BI15=0,0,INDEX(Premises!$A$37:$F$37,1,$CH15)/100)</f>
        <v>0</v>
      </c>
      <c r="BQ15" s="392"/>
      <c r="BR15" s="614">
        <f>($BI15+$BK15+$BM15+$BO15)*$BP15+$BQ15</f>
        <v>0</v>
      </c>
      <c r="BS15" s="624">
        <f>BI15+BK15+BM15+BO15+BR15</f>
        <v>0</v>
      </c>
      <c r="BT15" s="624">
        <f>IF($BS15=0,0,$CK15*$BS15)</f>
        <v>0</v>
      </c>
      <c r="BU15" s="625">
        <f>IF($BT15=0,0,MAX(1,$EB15/$DP15))</f>
        <v>0</v>
      </c>
      <c r="BV15" s="400"/>
      <c r="BW15" s="401"/>
      <c r="BX15" s="401"/>
      <c r="BY15" s="402"/>
      <c r="BZ15" s="946"/>
      <c r="CA15" s="263" cm="1">
        <f t="array" ref="CA15">IF($BZ15&gt;0,VALUE(LEFT($BZ15,IF(ISERROR(FIND("-",$BZ15)),LEN($BZ15),FIND("-",$BZ15)-1))),INDEX($CA$1:$CA15,MAX(1,$CD15)))</f>
        <v>1</v>
      </c>
      <c r="CB15" s="263" cm="1">
        <f t="array" ref="CB15">IF($BT15=0,0,IF(LEN($BZ15)-LEN(SUBSTITUTE($BZ15,"-",""))&gt;1,
VALUE(MID($BZ15,FIND("-",$BZ15)+1,FIND("-",$BZ15,FIND("-",$BZ15)+1)-FIND("-",$BZ15)-1)),IF($BZ15&gt;0,0,INDEX($CB$1:$CB15,MAX(1,$CD15)))))</f>
        <v>0</v>
      </c>
      <c r="CC15" s="263" cm="1">
        <f t="array" ref="CC15">IF($BT15=0,0,IF(NOT(ISERROR(FIND("-",BZ15))),
VALUE(RIGHT($BZ15,LEN($BZ15)-IF(LEN($BZ15)-LEN(SUBSTITUTE($BZ15,"-",""))=1,FIND("-",$BZ15),FIND("-",$BZ15,FIND("-",$BZ15)+1)))),
IF($BZ15&gt;0,0,INDEX($CC$1:$CC15,MAX(1,$CD15)))))</f>
        <v>0</v>
      </c>
      <c r="CD15" s="376">
        <f>MATCH(0,$CE$1:$CE15,-1)</f>
        <v>12</v>
      </c>
      <c r="CE15" s="263"/>
      <c r="CF15" s="377"/>
      <c r="CG15" s="376" cm="1">
        <f t="array" ref="CG15">INDEX($CG$1:$CG15,$CD15)</f>
        <v>3</v>
      </c>
      <c r="CH15" s="263">
        <f>MATCH($CA15,Premises!$A$10:$F$10,0)</f>
        <v>4</v>
      </c>
      <c r="CI15" s="263">
        <f>IF(ISBLANK($E15),0,IFERROR(MATCH($E15,MHR[Bezeichnung],0),0))</f>
        <v>0</v>
      </c>
      <c r="CJ15" s="377">
        <f>IF(ISBLANK($AQ15),0,IFERROR(MATCH($AQ15,MAT[Bezeichnung],0),0))</f>
        <v>0</v>
      </c>
      <c r="CK15" s="263" cm="1">
        <f t="array" ref="CK15">INDEX($D$1:$D15,$CD15)</f>
        <v>1</v>
      </c>
      <c r="CL15" s="263"/>
      <c r="CM15" s="378"/>
      <c r="CN15" s="379" cm="1">
        <f t="array" ref="CN15">IF($CB15=0,0,IF($CB15=INDEX($CB$1:$CB15,$CD15),INDEX($CN$1:$CN15,$CD15),$CP15))</f>
        <v>0</v>
      </c>
      <c r="CO15" s="378"/>
      <c r="CP15" s="379" cm="1">
        <f t="array" ref="CP15">IF($CC15=0,0,INDEX($CP$1:$CP15,$CD15))</f>
        <v>0</v>
      </c>
      <c r="CQ15" s="380"/>
      <c r="CR15" s="381"/>
      <c r="CS15" s="381"/>
      <c r="CT15" s="948"/>
      <c r="CU15" s="2"/>
      <c r="CV15" s="630">
        <f>$J15*$CK15</f>
        <v>0</v>
      </c>
      <c r="CW15" s="631">
        <f>$R15*$CK15</f>
        <v>0</v>
      </c>
      <c r="CX15" s="631">
        <f>$V15*$CK15</f>
        <v>0</v>
      </c>
      <c r="CY15" s="631">
        <f>$AA15*$CK15</f>
        <v>0</v>
      </c>
      <c r="CZ15" s="631">
        <f>$AF15*$CK15</f>
        <v>0</v>
      </c>
      <c r="DA15" s="631">
        <f>$AL15*$CK15</f>
        <v>0</v>
      </c>
      <c r="DB15" s="631">
        <f>$AO15*$CK15</f>
        <v>0</v>
      </c>
      <c r="DC15" s="632">
        <f>$AP15*$CK15</f>
        <v>0</v>
      </c>
      <c r="DD15" s="631">
        <f>$AU15*$CK15</f>
        <v>0</v>
      </c>
      <c r="DE15" s="631">
        <f>$AX15*$CK15</f>
        <v>0</v>
      </c>
      <c r="DF15" s="631">
        <f>$AZ15*$CK15</f>
        <v>0</v>
      </c>
      <c r="DG15" s="632">
        <f>$BA15*$CK15</f>
        <v>0</v>
      </c>
      <c r="DH15" s="632">
        <f>$BB15*$CK15</f>
        <v>0</v>
      </c>
      <c r="DI15" s="631">
        <f>$BD15*$CK15</f>
        <v>0</v>
      </c>
      <c r="DJ15" s="631">
        <f>$BF15*$CK15</f>
        <v>0</v>
      </c>
      <c r="DK15" s="631">
        <f>$BH15*$CK15</f>
        <v>0</v>
      </c>
      <c r="DL15" s="631">
        <f>$BK15*$CK15</f>
        <v>0</v>
      </c>
      <c r="DM15" s="631">
        <f>$BM15*$CK15</f>
        <v>0</v>
      </c>
      <c r="DN15" s="631">
        <f>$BO15*$CK15</f>
        <v>0</v>
      </c>
      <c r="DO15" s="631">
        <f>$BR15*$CK15</f>
        <v>0</v>
      </c>
      <c r="DP15" s="634">
        <f>$CK15*($BB15+$BD15+$BF15+$BH15+$BK15+$BM15+$BO15+$BR15)</f>
        <v>0</v>
      </c>
      <c r="DQ15" s="929">
        <f>IF($CB15=0,0,$DP15*_xlfn.XLOOKUP($CB15,Premises!$A$10:$F$10,Premises!$A$30:$F$30)/100)</f>
        <v>0</v>
      </c>
      <c r="DR15" s="633">
        <f>IFERROR(SUM($DP15:$DQ15)*IF(INDEX(Premises!$A$42:$F$42,1,MATCH($CB15,Premises!$A$10:$F$10,0))&gt;0,INDEX(Premises!$A$42:$F$42,1,MATCH($CB15,Premises!$A$10:$F$10,0))%,$CN15),0)</f>
        <v>0</v>
      </c>
      <c r="DS15" s="633" cm="1">
        <f t="array" ref="DS15">IF($CB15=0,0,SUM($DP15:$DR15)*_xlfn.XLOOKUP($CB15,Premises!$A$10:$F$10,IF(INDEX(Settings[],MATCH(3001,Settings[ID],0),2)="B",Premises!$A$33:$F$33,Premises!$A$31:$F$31))/100)</f>
        <v>0</v>
      </c>
      <c r="DT15" s="633" cm="1">
        <f t="array" ref="DT15">IF($CB15=0,0,$DP15*_xlfn.XLOOKUP($CB15,Premises!$A$10:$F$10,IF(INDEX(Settings[],MATCH(3002,Settings[ID],0),2)="B",Premises!$A$36:$F$36,Premises!$A$34:$F$34))/100)</f>
        <v>0</v>
      </c>
      <c r="DU15" s="633">
        <f>IF($CB15=0,0,SUM($DP15:$DT15)*_xlfn.XLOOKUP($CB15,Premises!$A$10:$F$10,Premises!$A$37:$F$37)/100)</f>
        <v>0</v>
      </c>
      <c r="DV15" s="932">
        <f>SUM($DP15:$DU15)</f>
        <v>0</v>
      </c>
      <c r="DW15" s="929">
        <f>IF($CC15=0,0,$DV15*_xlfn.XLOOKUP($CC15,Premises!$A$10:$F$10,Premises!$A$30:$F$30)/100)</f>
        <v>0</v>
      </c>
      <c r="DX15" s="633">
        <f>IFERROR(SUM($DV15:$DW15)*IF(INDEX(Premises!$A$42:$F$42,1,MATCH($CC15,Premises!$A$10:$F$10,0))&gt;0,INDEX(Premises!$A$42:$F$42,1,MATCH($CC15,Premises!$A$10:$F$10,0))%,$CP15),0)</f>
        <v>0</v>
      </c>
      <c r="DY15" s="633" cm="1">
        <f t="array" ref="DY15">IF($CC15=0,0,SUM($DV15:$DX15)*_xlfn.XLOOKUP($CC15,Premises!$A$10:$F$10,IF(INDEX(Settings[],MATCH(3001,Settings[ID],0),2)="B",Premises!$A$33:$F$33,Premises!$A$31:$F$31))/100)</f>
        <v>0</v>
      </c>
      <c r="DZ15" s="633" cm="1">
        <f t="array" ref="DZ15">IF($CC15=0,0,$DV15*_xlfn.XLOOKUP($CC15,Premises!$A$10:$F$10,IF(INDEX(Settings[],MATCH(3002,Settings[ID],0),2)="B",Premises!$A$36:$F$36,Premises!$A$34:$F$34))/100)</f>
        <v>0</v>
      </c>
      <c r="EA15" s="633">
        <f>IF($CC15=0,0,SUM($DV15:$DZ15)*_xlfn.XLOOKUP($CC15,Premises!$A$10:$F$10,Premises!$A$37:$F$37)/100)</f>
        <v>0</v>
      </c>
      <c r="EB15" s="634">
        <f>SUM($DV15:$EA15)</f>
        <v>0</v>
      </c>
      <c r="EC15" s="783"/>
      <c r="ED15" s="1082"/>
      <c r="EE15" s="633"/>
      <c r="EF15" s="1088"/>
      <c r="EG15" s="1086"/>
      <c r="EH15" s="1086"/>
      <c r="EI15" s="1086"/>
      <c r="EJ15" s="1086"/>
      <c r="EK15" s="1086"/>
      <c r="EL15" s="1086"/>
      <c r="EM15" s="1088"/>
      <c r="EN15" s="1086"/>
      <c r="EO15" s="1086"/>
      <c r="EP15" s="1086"/>
      <c r="EQ15" s="1086"/>
      <c r="ER15" s="1088"/>
      <c r="ES15" s="1086"/>
      <c r="ET15" s="1086"/>
      <c r="EU15" s="1086"/>
      <c r="EV15" s="1086"/>
      <c r="EW15" s="1086"/>
      <c r="EX15" s="1089"/>
      <c r="EY15" s="2"/>
      <c r="EZ15" s="2"/>
      <c r="FA15" s="2"/>
      <c r="FB15" s="2"/>
      <c r="FC15" s="2"/>
      <c r="FD15" s="2"/>
      <c r="FE15" s="2"/>
      <c r="FF15" s="2"/>
      <c r="FG15" s="2"/>
      <c r="FH15" s="2"/>
      <c r="FI15" s="2"/>
      <c r="FJ15" s="403"/>
      <c r="FK15" s="404"/>
      <c r="FL15" s="405"/>
      <c r="FM15" s="948"/>
    </row>
    <row r="16" spans="1:169" s="13" customFormat="1" ht="12.75" customHeight="1">
      <c r="A16" s="215"/>
      <c r="B16" s="385"/>
      <c r="C16" s="386"/>
      <c r="D16" s="629"/>
      <c r="E16" s="387"/>
      <c r="F16" s="388"/>
      <c r="G16" s="388"/>
      <c r="H16" s="388"/>
      <c r="I16" s="620" cm="1">
        <f t="array" ref="I16">IF($CI16=0,0,IFERROR(INDEX(MHR[],$CI16,MATCH($CA16,MHR!$B$4:$AY$4,0)),0))</f>
        <v>0</v>
      </c>
      <c r="J16" s="617">
        <f>IF(COUNTBLANK($E16:$H16),0,IFERROR($F16/$H16/IF($G16="s",3600,IF($G16="min",60,IF($G16="h",1,0)))*I16,0))</f>
        <v>0</v>
      </c>
      <c r="K16" s="389"/>
      <c r="L16" s="390"/>
      <c r="M16" s="849"/>
      <c r="N16" s="390"/>
      <c r="O16" s="388"/>
      <c r="P16" s="628" cm="1">
        <f t="array" ref="P16">IF($K16=0,0,IFERROR(ROUNDUP(IF(ISNUMBER($K16),$K16,INDEX($D$1:$D16,$CD16)*INDEX(Premises!$A$13:$F$13,1,$CH16)/IF(OR($K16="T",$K16="D"),250,IF($K16="W",50,IF($K16="M",12,IF(OR($K16="HJ",$K16="HY"),2,IF(OR($K16="J",$K16="Y"),1,0)))))),0),0))</f>
        <v>0</v>
      </c>
      <c r="Q16" s="620" cm="1">
        <f t="array" ref="Q16">IF($K16=0,0,IFERROR(INDEX(Premises!$A$22:$F$22,1,$CH16)*100/INDEX(Premises!$A$16:$F$16,1,$CH16),0))</f>
        <v>0</v>
      </c>
      <c r="R16" s="617">
        <f>IF($P16=0,0,IFERROR(($L16/60*($I16+$Q16*$M16)+($N16/60*($Q16*$O16)))/$P16,0))</f>
        <v>0</v>
      </c>
      <c r="S16" s="391"/>
      <c r="T16" s="392"/>
      <c r="U16" s="620" cm="1">
        <f t="array" ref="U16">IF(COUNTBLANK($S16:$T16),0,
IF(AND(INDEX(MHR[Schichtmodell],$CI16)&lt;&gt;0,INDEX(MHR[Schichtmodell],$CI16)&lt;&gt;INDEX(Premises!$A$20:$F$20,1,$CH16)),ExchangeRate*
IF(OR($T16="M",$T16="U"),IF(INDEX(MHR[Schichtmodell],$CI16)=1,INDEX(LOC[M1S],INDEX(Premises!$A$18:$F$18,1,$CH16+1)),IF(INDEX(MHR[Schichtmodell],$CI16)=2,INDEX(LOC[M2S],INDEX(Premises!$A$18:$F$18,1,$CH16+1),IF(INDEX(MHR[Schichtmodell],$CI16)=3,INDEX(LOC[M3S],INDEX(Premises!$A$18:$F$18,1,$CH16+1)),0)))),
IF(INDEX(MHR[Schichtmodell],$CI16)=1,INDEX(LOC[F1S],INDEX(Premises!$A$18:$F$18,1,$CH16+1)),IF(INDEX(MHR[Schichtmodell],$CI16)=2,INDEX(LOC[F2S],INDEX(Premises!$A$18:$F$18,1,$CH16+1)),IF(INDEX(MHR[Schichtmodell],$CI16)=3,INDEX(LOC[F3S],INDEX(Premises!$A$18:$F$18,1,$CH16+1)),0)))),
IF(OR($T16="M",$T16="U"),INDEX(Premises!$A$21:$F$21,1,$CH16),
IF(OR($T16="F",$T16="S"),INDEX(Premises!$A$22:$F$22,1,$CH16),0)))*100/INDEX(Premises!$A$16:$F$16,1,$CH16))</f>
        <v>0</v>
      </c>
      <c r="V16" s="614">
        <f>IF($U16=0,0,IFERROR($F16/$H16/IF($G16="s",3600,IF($G16="min",60,IF($G16="h",1,0)))*$S16*$U16,0))</f>
        <v>0</v>
      </c>
      <c r="W16" s="393"/>
      <c r="X16" s="386"/>
      <c r="Y16" s="394"/>
      <c r="Z16" s="395"/>
      <c r="AA16" s="611">
        <f>IFERROR($X16*$Z16/$Y16/MAX(1,$H16),0)</f>
        <v>0</v>
      </c>
      <c r="AB16" s="393"/>
      <c r="AC16" s="386"/>
      <c r="AD16" s="394"/>
      <c r="AE16" s="396"/>
      <c r="AF16" s="611">
        <f>IFERROR($AC16*$AE16/$AD16,0)</f>
        <v>0</v>
      </c>
      <c r="AG16" s="612" cm="1">
        <f t="array" ref="AG16">IF(($J16+$V16+$AF16)=0,0,INDEX(Premises!$A$30:$F$30,1,$CH16)/100)</f>
        <v>0</v>
      </c>
      <c r="AH16" s="397"/>
      <c r="AI16" s="398"/>
      <c r="AJ16" s="399"/>
      <c r="AK16" s="613">
        <f>IF(COUNTBLANK($AH16:$AI16),0,$AH16*$AI16*$AG16)</f>
        <v>0</v>
      </c>
      <c r="AL16" s="614">
        <f>($AK16+$AJ16*$AG16*(1-$AH16)+($J16+$V16+$AF16)*$AG16*(1-$AH16))</f>
        <v>0</v>
      </c>
      <c r="AM16" s="615" cm="1">
        <f t="array" ref="AM16">IF($CI16=0,0,IFERROR(INDEX(MHR[],$CI16,MATCH($CA16,MHR!$B$4:$AY$4,0)+11),0))</f>
        <v>0</v>
      </c>
      <c r="AN16" s="616" cm="1">
        <f t="array" ref="AN16">IF(($J16+$V16)=0,0,IFERROR(IF(INDEX(Premises!$A$41:$F$41,1,$CH16)&lt;&gt;0,INDEX(Premises!$A$41:$F$41,1,$CH16)/100,(IFERROR(($J16/$I16)*$AM16,0)/($V16+$J16+$R16+$AL16))),0))</f>
        <v>0</v>
      </c>
      <c r="AO16" s="617">
        <f>IF(($J16+$V16)=0,0,IF(IFERROR(($J16+$R16+$V16+$AL16)*$AN16,0)&lt;&gt;IFERROR(($J16/$I16)*$AM16,0),($J16+$R16+$V16+$AL16)*$AN16,IFERROR(($J16/$I16)*$AM16,0)))</f>
        <v>0</v>
      </c>
      <c r="AP16" s="618">
        <f>$V16+$J16+$R16+$AA16+$AF16+$AL16+$AO16</f>
        <v>0</v>
      </c>
      <c r="AQ16" s="393"/>
      <c r="AR16" s="392"/>
      <c r="AS16" s="619" cm="1">
        <f t="array" ref="AS16">IF($CJ16=0,0,IFERROR(INDEX(MAT[Einheit],$CJ16,1),0))</f>
        <v>0</v>
      </c>
      <c r="AT16" s="620" cm="1">
        <f t="array" ref="AT16">IF($CJ16=0,0,IFERROR(INDEX(MAT[Preis],$CJ16,1),0))</f>
        <v>0</v>
      </c>
      <c r="AU16" s="621">
        <f>$AR16*$AT16</f>
        <v>0</v>
      </c>
      <c r="AV16" s="622" cm="1">
        <f t="array" ref="AV16">IF($AU16&lt;=0,0,INDEX(Premises!$A$30:$F$30,1,$CH16)/100)</f>
        <v>0</v>
      </c>
      <c r="AW16" s="392"/>
      <c r="AX16" s="614">
        <f>IF($AV16=0,0,($AU16+$AW16)*$AV16)</f>
        <v>0</v>
      </c>
      <c r="AY16" s="623" cm="1">
        <f t="array" ref="AY16">IF($AT16&lt;=0,0,IFERROR(IF(INDEX(Premises!$A$42:$F$42,1,$CH16)&lt;&gt;0,INDEX(Premises!$A$42:$F$42,1,$CH16)/100,(INDEX(MAT[],$CJ16,MATCH($CA16,MAT!$B$4:$AE$4,0))/($AR16*$CK16*INDEX(Premises!$A$13:$F$13,1,$CH16))+INDEX(MAT[],$CJ16,MATCH($CA16,MAT!$B$4:$AE$4,0)+7))/$AT16),0))</f>
        <v>0</v>
      </c>
      <c r="AZ16" s="614">
        <f>IF($AY16=0,0,($AU16+$AX16)*$AY16)</f>
        <v>0</v>
      </c>
      <c r="BA16" s="618">
        <f>$AU16+$AX16+$AZ16</f>
        <v>0</v>
      </c>
      <c r="BB16" s="618">
        <f>$AP16+$BA16</f>
        <v>0</v>
      </c>
      <c r="BC16" s="622" cm="1">
        <f t="array" ref="BC16">IF($BB16&lt;=0,0,IF(BC$2=-1,0,INDEX(Premises!$A$32:$F$32,1,$CH16)/100))</f>
        <v>0</v>
      </c>
      <c r="BD16" s="614">
        <f>IF($AP16&lt;=0,0,($AP16-$AA16-$AL16)*$BC16)</f>
        <v>0</v>
      </c>
      <c r="BE16" s="622" cm="1">
        <f t="array" ref="BE16">IF($BB16&lt;=0,0,IF(BE$2=-1,0,INDEX(Premises!$A$33:$F$33,1,$CH16)/100))</f>
        <v>0</v>
      </c>
      <c r="BF16" s="614">
        <f>IF($BA16&lt;=0,0,$BA16*$BE16)</f>
        <v>0</v>
      </c>
      <c r="BG16" s="622" cm="1">
        <f t="array" ref="BG16">IF($BB16&lt;=0,0,IF(BG$2=-1,0,INDEX(Premises!$A$31:$F$31,1,$CH16)/100))</f>
        <v>0</v>
      </c>
      <c r="BH16" s="614">
        <f>(($AP16-$AA16-$AL16)+$BA16)*$BG16</f>
        <v>0</v>
      </c>
      <c r="BI16" s="618">
        <f>$BB16+$BD16+$BF16+$BH16</f>
        <v>0</v>
      </c>
      <c r="BJ16" s="622" cm="1">
        <f t="array" ref="BJ16">IF($BB16&lt;=0,0,IF(BJ$2=-1,0,INDEX(Premises!$A$35:$F$35,1,$CH16)/100))</f>
        <v>0</v>
      </c>
      <c r="BK16" s="614">
        <f>IF($AP16&lt;=0,0,($AP16-$AL16-$AA16)*$BJ16)</f>
        <v>0</v>
      </c>
      <c r="BL16" s="622" cm="1">
        <f t="array" ref="BL16">IF($BB16&lt;=0,0,IF(BL$2=-1,0,INDEX(Premises!$A$36:$F$36,1,$CH16)/100))</f>
        <v>0</v>
      </c>
      <c r="BM16" s="614">
        <f>IF($AU16&lt;=0,0,($AR16*$AT16)*$BL16)</f>
        <v>0</v>
      </c>
      <c r="BN16" s="622" cm="1">
        <f t="array" ref="BN16">IF($BB16&lt;=0,0,IF(BN$2=-1,0,INDEX(Premises!$A$34:$F$34,1,$CH16)/100))</f>
        <v>0</v>
      </c>
      <c r="BO16" s="614">
        <f>(($AP16-$AL16-$AA16)+($AR16*$AT16))*$BN16</f>
        <v>0</v>
      </c>
      <c r="BP16" s="622" cm="1">
        <f t="array" ref="BP16">IF($BI16=0,0,INDEX(Premises!$A$37:$F$37,1,$CH16)/100)</f>
        <v>0</v>
      </c>
      <c r="BQ16" s="392"/>
      <c r="BR16" s="614">
        <f>($BI16+$BK16+$BM16+$BO16)*$BP16+$BQ16</f>
        <v>0</v>
      </c>
      <c r="BS16" s="624">
        <f>BI16+BK16+BM16+BO16+BR16</f>
        <v>0</v>
      </c>
      <c r="BT16" s="624">
        <f>IF($BS16=0,0,$CK16*$BS16)</f>
        <v>0</v>
      </c>
      <c r="BU16" s="625">
        <f>IF($BT16=0,0,MAX(1,$EB16/$DP16))</f>
        <v>0</v>
      </c>
      <c r="BV16" s="400"/>
      <c r="BW16" s="401"/>
      <c r="BX16" s="401"/>
      <c r="BY16" s="402"/>
      <c r="BZ16" s="946"/>
      <c r="CA16" s="263" cm="1">
        <f t="array" ref="CA16">IF($BZ16&gt;0,VALUE(LEFT($BZ16,IF(ISERROR(FIND("-",$BZ16)),LEN($BZ16),FIND("-",$BZ16)-1))),INDEX($CA$1:$CA16,MAX(1,$CD16)))</f>
        <v>1</v>
      </c>
      <c r="CB16" s="263" cm="1">
        <f t="array" ref="CB16">IF($BT16=0,0,IF(LEN($BZ16)-LEN(SUBSTITUTE($BZ16,"-",""))&gt;1,
VALUE(MID($BZ16,FIND("-",$BZ16)+1,FIND("-",$BZ16,FIND("-",$BZ16)+1)-FIND("-",$BZ16)-1)),IF($BZ16&gt;0,0,INDEX($CB$1:$CB16,MAX(1,$CD16)))))</f>
        <v>0</v>
      </c>
      <c r="CC16" s="263" cm="1">
        <f t="array" ref="CC16">IF($BT16=0,0,IF(NOT(ISERROR(FIND("-",BZ16))),
VALUE(RIGHT($BZ16,LEN($BZ16)-IF(LEN($BZ16)-LEN(SUBSTITUTE($BZ16,"-",""))=1,FIND("-",$BZ16),FIND("-",$BZ16,FIND("-",$BZ16)+1)))),
IF($BZ16&gt;0,0,INDEX($CC$1:$CC16,MAX(1,$CD16)))))</f>
        <v>0</v>
      </c>
      <c r="CD16" s="376">
        <f>MATCH(0,$CE$1:$CE16,-1)</f>
        <v>12</v>
      </c>
      <c r="CE16" s="263"/>
      <c r="CF16" s="377"/>
      <c r="CG16" s="376" cm="1">
        <f t="array" ref="CG16">INDEX($CG$1:$CG16,$CD16)</f>
        <v>3</v>
      </c>
      <c r="CH16" s="263">
        <f>MATCH($CA16,Premises!$A$10:$F$10,0)</f>
        <v>4</v>
      </c>
      <c r="CI16" s="263">
        <f>IF(ISBLANK($E16),0,IFERROR(MATCH($E16,MHR[Bezeichnung],0),0))</f>
        <v>0</v>
      </c>
      <c r="CJ16" s="377">
        <f>IF(ISBLANK($AQ16),0,IFERROR(MATCH($AQ16,MAT[Bezeichnung],0),0))</f>
        <v>0</v>
      </c>
      <c r="CK16" s="263" cm="1">
        <f t="array" ref="CK16">INDEX($D$1:$D16,$CD16)</f>
        <v>1</v>
      </c>
      <c r="CL16" s="263"/>
      <c r="CM16" s="378"/>
      <c r="CN16" s="379" cm="1">
        <f t="array" ref="CN16">IF($CB16=0,0,IF($CB16=INDEX($CB$1:$CB16,$CD16),INDEX($CN$1:$CN16,$CD16),$CP16))</f>
        <v>0</v>
      </c>
      <c r="CO16" s="378"/>
      <c r="CP16" s="379" cm="1">
        <f t="array" ref="CP16">IF($CC16=0,0,INDEX($CP$1:$CP16,$CD16))</f>
        <v>0</v>
      </c>
      <c r="CQ16" s="380"/>
      <c r="CR16" s="381"/>
      <c r="CS16" s="381"/>
      <c r="CT16" s="948"/>
      <c r="CU16" s="2"/>
      <c r="CV16" s="630">
        <f>$J16*$CK16</f>
        <v>0</v>
      </c>
      <c r="CW16" s="631">
        <f>$R16*$CK16</f>
        <v>0</v>
      </c>
      <c r="CX16" s="631">
        <f>$V16*$CK16</f>
        <v>0</v>
      </c>
      <c r="CY16" s="631">
        <f>$AA16*$CK16</f>
        <v>0</v>
      </c>
      <c r="CZ16" s="631">
        <f>$AF16*$CK16</f>
        <v>0</v>
      </c>
      <c r="DA16" s="631">
        <f>$AL16*$CK16</f>
        <v>0</v>
      </c>
      <c r="DB16" s="631">
        <f>$AO16*$CK16</f>
        <v>0</v>
      </c>
      <c r="DC16" s="632">
        <f>$AP16*$CK16</f>
        <v>0</v>
      </c>
      <c r="DD16" s="631">
        <f>$AU16*$CK16</f>
        <v>0</v>
      </c>
      <c r="DE16" s="631">
        <f>$AX16*$CK16</f>
        <v>0</v>
      </c>
      <c r="DF16" s="631">
        <f>$AZ16*$CK16</f>
        <v>0</v>
      </c>
      <c r="DG16" s="632">
        <f>$BA16*$CK16</f>
        <v>0</v>
      </c>
      <c r="DH16" s="632">
        <f>$BB16*$CK16</f>
        <v>0</v>
      </c>
      <c r="DI16" s="631">
        <f>$BD16*$CK16</f>
        <v>0</v>
      </c>
      <c r="DJ16" s="631">
        <f>$BF16*$CK16</f>
        <v>0</v>
      </c>
      <c r="DK16" s="631">
        <f>$BH16*$CK16</f>
        <v>0</v>
      </c>
      <c r="DL16" s="631">
        <f>$BK16*$CK16</f>
        <v>0</v>
      </c>
      <c r="DM16" s="631">
        <f>$BM16*$CK16</f>
        <v>0</v>
      </c>
      <c r="DN16" s="631">
        <f>$BO16*$CK16</f>
        <v>0</v>
      </c>
      <c r="DO16" s="631">
        <f>$BR16*$CK16</f>
        <v>0</v>
      </c>
      <c r="DP16" s="634">
        <f>$CK16*($BB16+$BD16+$BF16+$BH16+$BK16+$BM16+$BO16+$BR16)</f>
        <v>0</v>
      </c>
      <c r="DQ16" s="929">
        <f>IF($CB16=0,0,$DP16*_xlfn.XLOOKUP($CB16,Premises!$A$10:$F$10,Premises!$A$30:$F$30)/100)</f>
        <v>0</v>
      </c>
      <c r="DR16" s="633">
        <f>IFERROR(SUM($DP16:$DQ16)*IF(INDEX(Premises!$A$42:$F$42,1,MATCH($CB16,Premises!$A$10:$F$10,0))&gt;0,INDEX(Premises!$A$42:$F$42,1,MATCH($CB16,Premises!$A$10:$F$10,0))%,$CN16),0)</f>
        <v>0</v>
      </c>
      <c r="DS16" s="633" cm="1">
        <f t="array" ref="DS16">IF($CB16=0,0,SUM($DP16:$DR16)*_xlfn.XLOOKUP($CB16,Premises!$A$10:$F$10,IF(INDEX(Settings[],MATCH(3001,Settings[ID],0),2)="B",Premises!$A$33:$F$33,Premises!$A$31:$F$31))/100)</f>
        <v>0</v>
      </c>
      <c r="DT16" s="633" cm="1">
        <f t="array" ref="DT16">IF($CB16=0,0,$DP16*_xlfn.XLOOKUP($CB16,Premises!$A$10:$F$10,IF(INDEX(Settings[],MATCH(3002,Settings[ID],0),2)="B",Premises!$A$36:$F$36,Premises!$A$34:$F$34))/100)</f>
        <v>0</v>
      </c>
      <c r="DU16" s="633">
        <f>IF($CB16=0,0,SUM($DP16:$DT16)*_xlfn.XLOOKUP($CB16,Premises!$A$10:$F$10,Premises!$A$37:$F$37)/100)</f>
        <v>0</v>
      </c>
      <c r="DV16" s="932">
        <f>SUM($DP16:$DU16)</f>
        <v>0</v>
      </c>
      <c r="DW16" s="929">
        <f>IF($CC16=0,0,$DV16*_xlfn.XLOOKUP($CC16,Premises!$A$10:$F$10,Premises!$A$30:$F$30)/100)</f>
        <v>0</v>
      </c>
      <c r="DX16" s="633">
        <f>IFERROR(SUM($DV16:$DW16)*IF(INDEX(Premises!$A$42:$F$42,1,MATCH($CC16,Premises!$A$10:$F$10,0))&gt;0,INDEX(Premises!$A$42:$F$42,1,MATCH($CC16,Premises!$A$10:$F$10,0))%,$CP16),0)</f>
        <v>0</v>
      </c>
      <c r="DY16" s="633" cm="1">
        <f t="array" ref="DY16">IF($CC16=0,0,SUM($DV16:$DX16)*_xlfn.XLOOKUP($CC16,Premises!$A$10:$F$10,IF(INDEX(Settings[],MATCH(3001,Settings[ID],0),2)="B",Premises!$A$33:$F$33,Premises!$A$31:$F$31))/100)</f>
        <v>0</v>
      </c>
      <c r="DZ16" s="633" cm="1">
        <f t="array" ref="DZ16">IF($CC16=0,0,$DV16*_xlfn.XLOOKUP($CC16,Premises!$A$10:$F$10,IF(INDEX(Settings[],MATCH(3002,Settings[ID],0),2)="B",Premises!$A$36:$F$36,Premises!$A$34:$F$34))/100)</f>
        <v>0</v>
      </c>
      <c r="EA16" s="633">
        <f>IF($CC16=0,0,SUM($DV16:$DZ16)*_xlfn.XLOOKUP($CC16,Premises!$A$10:$F$10,Premises!$A$37:$F$37)/100)</f>
        <v>0</v>
      </c>
      <c r="EB16" s="634">
        <f>SUM($DV16:$EA16)</f>
        <v>0</v>
      </c>
      <c r="EC16" s="783"/>
      <c r="ED16" s="1082"/>
      <c r="EE16" s="633"/>
      <c r="EF16" s="1088"/>
      <c r="EG16" s="1086"/>
      <c r="EH16" s="1086"/>
      <c r="EI16" s="1086"/>
      <c r="EJ16" s="1086"/>
      <c r="EK16" s="1086"/>
      <c r="EL16" s="1086"/>
      <c r="EM16" s="1088"/>
      <c r="EN16" s="1086"/>
      <c r="EO16" s="1086"/>
      <c r="EP16" s="1086"/>
      <c r="EQ16" s="1086"/>
      <c r="ER16" s="1088"/>
      <c r="ES16" s="1086"/>
      <c r="ET16" s="1086"/>
      <c r="EU16" s="1086"/>
      <c r="EV16" s="1086"/>
      <c r="EW16" s="1086"/>
      <c r="EX16" s="1089"/>
      <c r="EY16" s="2"/>
      <c r="EZ16" s="2"/>
      <c r="FA16" s="2"/>
      <c r="FB16" s="2"/>
      <c r="FC16" s="2"/>
      <c r="FD16" s="2"/>
      <c r="FE16" s="2"/>
      <c r="FF16" s="2"/>
      <c r="FG16" s="2"/>
      <c r="FH16" s="2"/>
      <c r="FI16" s="2"/>
      <c r="FJ16" s="403"/>
      <c r="FK16" s="404"/>
      <c r="FL16" s="405"/>
      <c r="FM16" s="948"/>
    </row>
    <row r="17" spans="1:169" s="13" customFormat="1" ht="12.75" customHeight="1">
      <c r="A17" s="215"/>
      <c r="B17" s="370" t="str">
        <f>BOM!$A$4</f>
        <v>01-01 PCB UI</v>
      </c>
      <c r="C17" s="371"/>
      <c r="D17" s="372" cm="1">
        <f t="array" ref="D17">IF($CG17=0,0,INDEX(BOM!$N:$N,$CG17))</f>
        <v>1</v>
      </c>
      <c r="E17" s="627" t="s">
        <v>664</v>
      </c>
      <c r="F17" s="627" t="s">
        <v>664</v>
      </c>
      <c r="G17" s="627" t="s">
        <v>664</v>
      </c>
      <c r="H17" s="627" t="s">
        <v>664</v>
      </c>
      <c r="I17" s="627" t="s">
        <v>664</v>
      </c>
      <c r="J17" s="627" t="s">
        <v>664</v>
      </c>
      <c r="K17" s="627" t="s">
        <v>664</v>
      </c>
      <c r="L17" s="627" t="s">
        <v>664</v>
      </c>
      <c r="M17" s="627" t="s">
        <v>664</v>
      </c>
      <c r="N17" s="627" t="s">
        <v>664</v>
      </c>
      <c r="O17" s="627" t="s">
        <v>664</v>
      </c>
      <c r="P17" s="627" t="s">
        <v>664</v>
      </c>
      <c r="Q17" s="627" t="s">
        <v>664</v>
      </c>
      <c r="R17" s="627" t="s">
        <v>664</v>
      </c>
      <c r="S17" s="627" t="s">
        <v>664</v>
      </c>
      <c r="T17" s="627" t="s">
        <v>664</v>
      </c>
      <c r="U17" s="627" t="s">
        <v>664</v>
      </c>
      <c r="V17" s="627" t="s">
        <v>664</v>
      </c>
      <c r="W17" s="627" t="s">
        <v>664</v>
      </c>
      <c r="X17" s="627" t="s">
        <v>664</v>
      </c>
      <c r="Y17" s="627" t="s">
        <v>664</v>
      </c>
      <c r="Z17" s="627" t="s">
        <v>664</v>
      </c>
      <c r="AA17" s="627" t="s">
        <v>664</v>
      </c>
      <c r="AB17" s="627" t="s">
        <v>664</v>
      </c>
      <c r="AC17" s="627" t="s">
        <v>664</v>
      </c>
      <c r="AD17" s="627" t="s">
        <v>664</v>
      </c>
      <c r="AE17" s="627" t="s">
        <v>664</v>
      </c>
      <c r="AF17" s="627" t="s">
        <v>664</v>
      </c>
      <c r="AG17" s="627" t="s">
        <v>664</v>
      </c>
      <c r="AH17" s="627" t="s">
        <v>664</v>
      </c>
      <c r="AI17" s="627" t="s">
        <v>664</v>
      </c>
      <c r="AJ17" s="627" t="s">
        <v>664</v>
      </c>
      <c r="AK17" s="627" t="s">
        <v>664</v>
      </c>
      <c r="AL17" s="627" t="s">
        <v>664</v>
      </c>
      <c r="AM17" s="627" t="s">
        <v>664</v>
      </c>
      <c r="AN17" s="627" t="s">
        <v>664</v>
      </c>
      <c r="AO17" s="627" t="s">
        <v>664</v>
      </c>
      <c r="AP17" s="627" t="s">
        <v>664</v>
      </c>
      <c r="AQ17" s="627" t="s">
        <v>664</v>
      </c>
      <c r="AR17" s="627" t="s">
        <v>664</v>
      </c>
      <c r="AS17" s="627" t="s">
        <v>664</v>
      </c>
      <c r="AT17" s="627" t="s">
        <v>664</v>
      </c>
      <c r="AU17" s="627" t="s">
        <v>664</v>
      </c>
      <c r="AV17" s="627" t="s">
        <v>664</v>
      </c>
      <c r="AW17" s="627" t="s">
        <v>664</v>
      </c>
      <c r="AX17" s="627" t="s">
        <v>664</v>
      </c>
      <c r="AY17" s="627" t="s">
        <v>664</v>
      </c>
      <c r="AZ17" s="627" t="s">
        <v>664</v>
      </c>
      <c r="BA17" s="627" t="s">
        <v>664</v>
      </c>
      <c r="BB17" s="627" t="s">
        <v>664</v>
      </c>
      <c r="BC17" s="627" t="s">
        <v>664</v>
      </c>
      <c r="BD17" s="627" t="s">
        <v>664</v>
      </c>
      <c r="BE17" s="627" t="s">
        <v>664</v>
      </c>
      <c r="BF17" s="627" t="s">
        <v>664</v>
      </c>
      <c r="BG17" s="627" t="s">
        <v>664</v>
      </c>
      <c r="BH17" s="627" t="s">
        <v>664</v>
      </c>
      <c r="BI17" s="627" t="s">
        <v>664</v>
      </c>
      <c r="BJ17" s="627" t="s">
        <v>664</v>
      </c>
      <c r="BK17" s="627" t="s">
        <v>664</v>
      </c>
      <c r="BL17" s="627" t="s">
        <v>664</v>
      </c>
      <c r="BM17" s="627" t="s">
        <v>664</v>
      </c>
      <c r="BN17" s="627" t="s">
        <v>664</v>
      </c>
      <c r="BO17" s="627" t="s">
        <v>664</v>
      </c>
      <c r="BP17" s="627" t="s">
        <v>664</v>
      </c>
      <c r="BQ17" s="627" t="s">
        <v>664</v>
      </c>
      <c r="BR17" s="627" t="s">
        <v>664</v>
      </c>
      <c r="BS17" s="898">
        <f>SUM(INDEX($BS:$BS,ROW()+1):INDEX($BS:$BS,$CE17))</f>
        <v>9.0227026396353313E-2</v>
      </c>
      <c r="BT17" s="898">
        <f>SUM(INDEX($BT:$BT,ROW()+1):INDEX($BT:$BT,$CE17))</f>
        <v>9.0227026396353313E-2</v>
      </c>
      <c r="BU17" s="627" t="s">
        <v>664</v>
      </c>
      <c r="BV17" s="626">
        <f>SUMPRODUCT($BS17:INDEX($BS:$BS,$CE17),$BU17:INDEX($BU:$BU,$CE17))</f>
        <v>9.0227026396353313E-2</v>
      </c>
      <c r="BW17" s="373">
        <f>$D17*$BV17</f>
        <v>9.0227026396353313E-2</v>
      </c>
      <c r="BX17" s="794" cm="1">
        <f t="array" ref="BX17">IF($CG17=0,0,IF(INDEX(BOM!$P:$P,$CG17)=0,0,
SUMPRODUCT($BW17:INDEX($BW:$BW,IFERROR(ROW()+MATCH($CL17,INDEX($CL:$CL,ROW()+1):INDEX($CL:$CL,MAX($CE:$CE)),0)-1,MAX($CE:$CE))),
($CL17:INDEX($CL:$CL,IFERROR(ROW()+MATCH($CL17,INDEX($CL:$CL,ROW()+1):INDEX($CL:$CL,MAX($CE:$CE)),0)-1,MAX($CE:$CE)))&gt;=$CL17)*1)
))</f>
        <v>21.140410337914346</v>
      </c>
      <c r="BY17" s="374"/>
      <c r="BZ17" s="375" cm="1">
        <f t="array" ref="BZ17">IF($CG17=0,0,INDEX(BOM!$M:$M,$CG17))</f>
        <v>1</v>
      </c>
      <c r="CA17" s="263">
        <f>IF($BZ17&gt;0,VALUE(LEFT($BZ17,IF(ISERROR(FIND("-",$BZ17)),LEN($BZ17),FIND("-",$BZ17)-1))),INDEX($BZ$1:BZ17,MATCH("",$A$1:A17,-1)))</f>
        <v>1</v>
      </c>
      <c r="CB17" s="263">
        <f>IF(LEN($BZ17)-LEN(SUBSTITUTE($BZ17,"-",))&gt;1,
VALUE(MID($BZ17,FIND("-",$BZ17)+1,FIND("-",$BZ17,FIND("-",$BZ17)+1)-FIND("-",$BZ17)-1)),0)</f>
        <v>0</v>
      </c>
      <c r="CC17" s="263">
        <f>IF(NOT(ISERROR(FIND("-",BZ17))),
VALUE(RIGHT($BZ17,LEN($BZ17)-IF(LEN($BZ17)-LEN(SUBSTITUTE($BZ17,"-",""))=1,FIND("-",$BZ17),FIND("-",$BZ17,FIND("-",$BZ17)+1)))),0)</f>
        <v>0</v>
      </c>
      <c r="CD17" s="376"/>
      <c r="CE17" s="263" cm="1">
        <f t="array" ref="CE17">ROW()+MATCH(TRUE,_xlfn.ISFORMULA(INDEX(BW:BW,ROW()+1):INDEX(BW:BW,ROW()+MaxNumberOfRowsPerBlock)),0)-1</f>
        <v>25</v>
      </c>
      <c r="CF17" s="377" cm="1">
        <f t="array" ref="CF17">IF(CL17=0,-1,IF(CL17=1,7,MAX(IF($CL$1:$CL17=CL17-1,ROW($CL$1:$CL17),0))))</f>
        <v>12</v>
      </c>
      <c r="CG17" s="376">
        <f>IFERROR(MATCH($B17,BOM!$A:$A,0),0)</f>
        <v>4</v>
      </c>
      <c r="CH17" s="263">
        <f>MATCH($CA17,Premises!$A$10:$F$10,0)</f>
        <v>4</v>
      </c>
      <c r="CI17" s="263"/>
      <c r="CJ17" s="377"/>
      <c r="CK17" s="263"/>
      <c r="CL17" s="263" cm="1">
        <f t="array" ref="CL17">IF($CG17=0,0,INDEX(BOM!$C:$C,$CG17))</f>
        <v>2</v>
      </c>
      <c r="CM17" s="378" cm="1">
        <f t="array" ref="CM17">IF($CG17=0,0,IF(OR($CF17&lt;0,AND(INDEX($CB:$CB,$CF17)=$CB17,INDEX($CC:$CC,$CF17)=$CC17)),0,IF(INDEX(BOM!$P:$P,$CG17)=0,$BT17,(SUMIF($CA17:INDEX($CA:$CA,IFERROR(ROW()+MATCH($CL17,INDEX($CL:$CL,ROW()+1):INDEX($CL:$CL,MAX($CE:$CE)),0)-1,MAX($CE:$CE))),$CA17,$BT17:INDEX($BT:$BT,IFERROR(ROW()+MATCH($CL17,INDEX($CL:$CL,ROW()+1):INDEX($CL:$CL,MAX($CE:$CE)),0)-1,MAX($CE:$CE))))+SUMIF($CB17:INDEX($CB:$CB,IFERROR(ROW()+MATCH($CL17,INDEX($CL:$CL,ROW()+1):INDEX($CL:$CL,MAX($CE:$CE)),0)-1,MAX($CE:$CE))),$CA17,$BT17:INDEX($BT:$BT,IFERROR(ROW()+MATCH($CL17,INDEX($CL:$CL,ROW()+1):INDEX($CL:$CL,MAX($CE:$CE)),0)-1,MAX($CE:$CE)))))/2)))</f>
        <v>0</v>
      </c>
      <c r="CN17" s="379" cm="1">
        <f t="array" ref="CN17">IFERROR(IF($CB17=0,0,IF($CM17=0,INDEX($CN$1:$CN17,$CF17),INDEX(IF($CM17&lt;0.2,Premises!$A$43:$F$43,IF($CM17&lt;5,Premises!$A$46:$F$46,Premises!$A$49:$F$49)),MATCH($CB17,Premises!$A$10:$F$10,0))/($CM17*INDEX(Premises!$A$13:$F$13,MATCH($CB17,Premises!$A$10:$F$10,0)))+INDEX(IF($CM17&lt;0.2,Premises!$A$44:$F$44,IF($CM17&lt;5,Premises!$A$47:$F$47,Premises!$A$50:$F$50)),MATCH($CB17,Premises!$A$10:$F$10,0))+INDEX(IF($CM17&lt;0.2,Premises!$A$45:$F$45,IF($CM17&lt;5,Premises!$A$48:$F$48,Premises!$A$51:$F$51)),MATCH($CB17,Premises!$A$10:$F$10,0))/$CM17)),0.01)</f>
        <v>0</v>
      </c>
      <c r="CO17" s="378" cm="1">
        <f t="array" ref="CO17">IF($CG17=0,0,IF(INDEX($CC:$CC,$CF17)=$CC17,0,$CM17*(1+IFERROR(INDEX(Premises!$A$52:$F$52,1,MATCH($CB17,Premises!$A$10:$F$10,0)),0)+$CN17)))</f>
        <v>0</v>
      </c>
      <c r="CP17" s="379" cm="1">
        <f t="array" ref="CP17">IFERROR(IF($CC17=0,0,IF($CO17=0,INDEX($CP$1:$CP17,$CF17),INDEX(IF($CO17&lt;0.2,Premises!$A$43:$F$43,IF($CO17&lt;5,Premises!$A$46:$F$46,Premises!$A$49:$F$49)),MATCH($CC17,Premises!$A$10:$F$10,0))/($CO17*INDEX(Premises!$A$13:$F$13,MATCH($CC17,Premises!$A$10:$F$10,0)))+INDEX(IF($CO17&lt;0.2,Premises!$A$44:$F$44,IF($CO17&lt;5,Premises!$A$47:$F$47,Premises!$A$50:$F$50)),MATCH($CC17,Premises!$A$10:$F$10,0))+INDEX(IF($CO17&lt;0.2,Premises!$A$45:$F$45,IF($CO17&lt;5,Premises!$A$48:$F$48,Premises!$A$51:$F$51)),MATCH($CC17,Premises!$A$10:$F$10,0))/$CO17)),0.01)</f>
        <v>0</v>
      </c>
      <c r="CQ17" s="380" cm="1">
        <f t="array" ref="CQ17">IF(AND($CM17=0,$CO17=0),0,INDEX(BOM!$O:$O,$CG17))</f>
        <v>0</v>
      </c>
      <c r="CR17" s="381" cm="1">
        <f t="array" ref="CR17">IF(OR($CM17=0,$CN17=0),0,ACOS(COS(RADIANS(90-INDEX(Premises!$A$66:$F$66,1,$CH17)))*COS(RADIANS(90-INDEX(Premises!$A$66:$F$66,1,MATCH($CB17,Premises!$A$10:$F$10,0))))
+SIN(RADIANS(90-INDEX(Premises!$A$66:$F$66,1,$CH17)))*SIN(RADIANS(90-INDEX(Premises!$A$66:$F$66,1,MATCH($CB17,Premises!$A$10:$F$10,0)))) * COS(RADIANS(INDEX(Premises!$A$67:$F$67,1,$CH17)-INDEX(Premises!$A$67:$F$67,1,MATCH($CB17,Premises!$A$10:$F$10,0)))))*6371)</f>
        <v>0</v>
      </c>
      <c r="CS17" s="381" cm="1">
        <f t="array" ref="CS17">IF(OR($CO17=0,$CP17=0),0,
IF($CR17=0,ACOS(COS(RADIANS(90-INDEX(Premises!$A$66:$F$66,1,$CH17)))*COS(RADIANS(90-INDEX(Premises!$A$66:$F$66,1,MATCH($CC17,Premises!$A$10:$F$10,0))))
+SIN(RADIANS(90-INDEX(Premises!$A$66:$F$66,1,$CH17)))*SIN(RADIANS(90-INDEX(Premises!$A$66:$F$66,1,MATCH($CC17,Premises!$A$10:$F$10,0))))*COS(RADIANS(INDEX(Premises!$A$67:$F$67,1,$CH17)-INDEX(Premises!$A$67:$F$67,1,MATCH($CC17,Premises!$A$10:$F$10,0)))))*6371,
ACOS(COS(RADIANS(90-INDEX(Premises!$A$66:$F$66,1,MATCH($CB17,Premises!$A$10:$F$10,0))))*COS(RADIANS(90-INDEX(Premises!$A$66:$F$66,1,MATCH($CC17,Premises!$A$10:$F$10,0))))
+SIN(RADIANS(90-INDEX(Premises!$A$66:$F$66,1,MATCH($CB17,Premises!$A$10:$F$10,0))))*SIN(RADIANS(90-INDEX(Premises!$A$66:$F$66,1,MATCH($CC17,Premises!$A$10:$F$10,0))))*COS(RADIANS(INDEX(Premises!$A$67:$F$67,1,MATCH($CB17,Premises!$A$10:$F$10,0))-INDEX(Premises!$A$67:$F$67,1,MATCH($CC17,Premises!$A$10:$F$10,0)))))*6371))</f>
        <v>0</v>
      </c>
      <c r="CT17" s="947"/>
      <c r="CU17" s="2"/>
      <c r="CV17" s="382">
        <f>SUM(INDEX(CV:CV,ROW()+1):INDEX(CV:CV,$CE17))</f>
        <v>2.1306560160714474E-3</v>
      </c>
      <c r="CW17" s="383">
        <f>SUM(INDEX(CW:CW,ROW()+1):INDEX(CW:CW,$CE17))</f>
        <v>0</v>
      </c>
      <c r="CX17" s="383">
        <f>SUM(INDEX(CX:CX,ROW()+1):INDEX(CX:CX,$CE17))</f>
        <v>6.5347222222222223E-2</v>
      </c>
      <c r="CY17" s="383">
        <f>SUM(INDEX(CY:CY,ROW()+1):INDEX(CY:CY,$CE17))</f>
        <v>0</v>
      </c>
      <c r="CZ17" s="383">
        <f>SUM(INDEX(CZ:CZ,ROW()+1):INDEX(CZ:CZ,$CE17))</f>
        <v>0</v>
      </c>
      <c r="DA17" s="383">
        <f>SUM(INDEX(DA:DA,ROW()+1):INDEX(DA:DA,$CE17))</f>
        <v>6.7477878238293666E-4</v>
      </c>
      <c r="DB17" s="383">
        <f>SUM(INDEX(DB:DB,ROW()+1):INDEX(DB:DB,$CE17))</f>
        <v>9.7223352220256205E-3</v>
      </c>
      <c r="DC17" s="383">
        <f>SUM(INDEX(DC:DC,ROW()+1):INDEX(DC:DC,$CE17))</f>
        <v>7.7874992242702223E-2</v>
      </c>
      <c r="DD17" s="383">
        <f>SUM(INDEX(DD:DD,ROW()+1):INDEX(DD:DD,$CE17))</f>
        <v>0</v>
      </c>
      <c r="DE17" s="383">
        <f>SUM(INDEX(DE:DE,ROW()+1):INDEX(DE:DE,$CE17))</f>
        <v>0</v>
      </c>
      <c r="DF17" s="383">
        <f>SUM(INDEX(DF:DF,ROW()+1):INDEX(DF:DF,$CE17))</f>
        <v>0</v>
      </c>
      <c r="DG17" s="383">
        <f>SUM(INDEX(DG:DG,ROW()+1):INDEX(DG:DG,$CE17))</f>
        <v>0</v>
      </c>
      <c r="DH17" s="383">
        <f>SUM(INDEX(DH:DH,ROW()+1):INDEX(DH:DH,$CE17))</f>
        <v>7.7874992242702223E-2</v>
      </c>
      <c r="DI17" s="383">
        <f>SUM(INDEX(DI:DI,ROW()+1):INDEX(DI:DI,$CE17))</f>
        <v>0</v>
      </c>
      <c r="DJ17" s="383">
        <f>SUM(INDEX(DJ:DJ,ROW()+1):INDEX(DJ:DJ,$CE17))</f>
        <v>0</v>
      </c>
      <c r="DK17" s="383">
        <f>SUM(INDEX(DK:DK,ROW()+1):INDEX(DK:DK,$CE17))</f>
        <v>7.7200213460319293E-3</v>
      </c>
      <c r="DL17" s="383">
        <f>SUM(INDEX(DL:DL,ROW()+1):INDEX(DL:DL,$CE17))</f>
        <v>0</v>
      </c>
      <c r="DM17" s="383">
        <f>SUM(INDEX(DM:DM,ROW()+1):INDEX(DM:DM,$CE17))</f>
        <v>0</v>
      </c>
      <c r="DN17" s="383">
        <f>SUM(INDEX(DN:DN,ROW()+1):INDEX(DN:DN,$CE17))</f>
        <v>4.6320128076191569E-3</v>
      </c>
      <c r="DO17" s="383">
        <f>SUM(INDEX(DO:DO,ROW()+1):INDEX(DO:DO,$CE17))</f>
        <v>0</v>
      </c>
      <c r="DP17" s="383">
        <f>SUM(INDEX(DP:DP,ROW()+1):INDEX(DP:DP,$CE17))</f>
        <v>9.0227026396353313E-2</v>
      </c>
      <c r="DQ17" s="383">
        <f>SUM(INDEX(DQ:DQ,ROW()+1):INDEX(DQ:DQ,$CE17))</f>
        <v>0</v>
      </c>
      <c r="DR17" s="383">
        <f>SUM(INDEX(DR:DR,ROW()+1):INDEX(DR:DR,$CE17))</f>
        <v>0</v>
      </c>
      <c r="DS17" s="383">
        <f>SUM(INDEX(DS:DS,ROW()+1):INDEX(DS:DS,$CE17))</f>
        <v>0</v>
      </c>
      <c r="DT17" s="383">
        <f>SUM(INDEX(DT:DT,ROW()+1):INDEX(DT:DT,$CE17))</f>
        <v>0</v>
      </c>
      <c r="DU17" s="383">
        <f>SUM(INDEX(DU:DU,ROW()+1):INDEX(DU:DU,$CE17))</f>
        <v>0</v>
      </c>
      <c r="DV17" s="383">
        <f>SUM(INDEX(DV:DV,ROW()+1):INDEX(DV:DV,$CE17))</f>
        <v>9.0227026396353313E-2</v>
      </c>
      <c r="DW17" s="383">
        <f>SUM(INDEX(DW:DW,ROW()+1):INDEX(DW:DW,$CE17))</f>
        <v>0</v>
      </c>
      <c r="DX17" s="383">
        <f>SUM(INDEX(DX:DX,ROW()+1):INDEX(DX:DX,$CE17))</f>
        <v>0</v>
      </c>
      <c r="DY17" s="383">
        <f>SUM(INDEX(DY:DY,ROW()+1):INDEX(DY:DY,$CE17))</f>
        <v>0</v>
      </c>
      <c r="DZ17" s="383">
        <f>SUM(INDEX(DZ:DZ,ROW()+1):INDEX(DZ:DZ,$CE17))</f>
        <v>0</v>
      </c>
      <c r="EA17" s="383">
        <f>SUM(INDEX(EA:EA,ROW()+1):INDEX(EA:EA,$CE17))</f>
        <v>0</v>
      </c>
      <c r="EB17" s="384">
        <f>SUM(INDEX(EB:EB,ROW()+1):INDEX(EB:EB,$CE17))</f>
        <v>9.0227026396353313E-2</v>
      </c>
      <c r="EC17" s="783"/>
      <c r="ED17" s="382"/>
      <c r="EE17" s="383"/>
      <c r="EF17" s="1090"/>
      <c r="EG17" s="1090"/>
      <c r="EH17" s="1090"/>
      <c r="EI17" s="1090"/>
      <c r="EJ17" s="1090"/>
      <c r="EK17" s="1090"/>
      <c r="EL17" s="1090"/>
      <c r="EM17" s="1090"/>
      <c r="EN17" s="1090"/>
      <c r="EO17" s="1090"/>
      <c r="EP17" s="1090"/>
      <c r="EQ17" s="1090"/>
      <c r="ER17" s="1090"/>
      <c r="ES17" s="1090"/>
      <c r="ET17" s="1090"/>
      <c r="EU17" s="1090"/>
      <c r="EV17" s="1090"/>
      <c r="EW17" s="1090"/>
      <c r="EX17" s="1091"/>
      <c r="EY17" s="2"/>
      <c r="EZ17" s="2"/>
      <c r="FA17" s="2"/>
      <c r="FB17" s="2"/>
      <c r="FC17" s="2"/>
      <c r="FD17" s="2"/>
      <c r="FE17" s="2"/>
      <c r="FF17" s="2"/>
      <c r="FG17" s="2"/>
      <c r="FH17" s="2"/>
      <c r="FI17" s="2"/>
      <c r="FJ17" s="382"/>
      <c r="FK17" s="383"/>
      <c r="FL17" s="384"/>
      <c r="FM17" s="947"/>
    </row>
    <row r="18" spans="1:169" s="13" customFormat="1" ht="12.75" customHeight="1">
      <c r="A18" s="215"/>
      <c r="B18" s="385" t="s">
        <v>905</v>
      </c>
      <c r="C18" s="386"/>
      <c r="D18" s="629"/>
      <c r="E18" s="387"/>
      <c r="F18" s="388"/>
      <c r="G18" s="388"/>
      <c r="H18" s="388"/>
      <c r="I18" s="620" cm="1">
        <f t="array" ref="I18">IF($CI18=0,0,IFERROR(INDEX(MHR[],$CI18,MATCH($CA18,MHR!$B$4:$AY$4,0)),0))</f>
        <v>0</v>
      </c>
      <c r="J18" s="617">
        <f t="shared" ref="J18:J25" si="0">IF(COUNTBLANK($E18:$H18),0,IFERROR($F18/$H18/IF($G18="s",3600,IF($G18="min",60,IF($G18="h",1,0)))*I18,0))</f>
        <v>0</v>
      </c>
      <c r="K18" s="389"/>
      <c r="L18" s="390"/>
      <c r="M18" s="849"/>
      <c r="N18" s="390"/>
      <c r="O18" s="388"/>
      <c r="P18" s="628" cm="1">
        <f t="array" ref="P18">IF($K18=0,0,IFERROR(ROUNDUP(IF(ISNUMBER($K18),$K18,INDEX($D$1:$D18,$CD18)*INDEX(Premises!$A$13:$F$13,1,$CH18)/IF(OR($K18="T",$K18="D"),250,IF($K18="W",50,IF($K18="M",12,IF(OR($K18="HJ",$K18="HY"),2,IF(OR($K18="J",$K18="Y"),1,0)))))),0),0))</f>
        <v>0</v>
      </c>
      <c r="Q18" s="620" cm="1">
        <f t="array" ref="Q18">IF($K18=0,0,IFERROR(INDEX(Premises!$A$22:$F$22,1,$CH18)*100/INDEX(Premises!$A$16:$F$16,1,$CH18),0))</f>
        <v>0</v>
      </c>
      <c r="R18" s="617">
        <f t="shared" ref="R18:R25" si="1">IF($P18=0,0,IFERROR(($L18/60*($I18+$Q18*$M18)+($N18/60*($Q18*$O18)))/$P18,0))</f>
        <v>0</v>
      </c>
      <c r="S18" s="391"/>
      <c r="T18" s="392"/>
      <c r="U18" s="620" cm="1">
        <f t="array" ref="U18">IF(COUNTBLANK($S18:$T18),0,
IF(AND(INDEX(MHR[Schichtmodell],$CI18)&lt;&gt;0,INDEX(MHR[Schichtmodell],$CI18)&lt;&gt;INDEX(Premises!$A$20:$F$20,1,$CH18)),ExchangeRate*
IF(OR($T18="M",$T18="U"),IF(INDEX(MHR[Schichtmodell],$CI18)=1,INDEX(LOC[M1S],INDEX(Premises!$A$18:$F$18,1,$CH18+1)),IF(INDEX(MHR[Schichtmodell],$CI18)=2,INDEX(LOC[M2S],INDEX(Premises!$A$18:$F$18,1,$CH18+1),IF(INDEX(MHR[Schichtmodell],$CI18)=3,INDEX(LOC[M3S],INDEX(Premises!$A$18:$F$18,1,$CH18+1)),0)))),
IF(INDEX(MHR[Schichtmodell],$CI18)=1,INDEX(LOC[F1S],INDEX(Premises!$A$18:$F$18,1,$CH18+1)),IF(INDEX(MHR[Schichtmodell],$CI18)=2,INDEX(LOC[F2S],INDEX(Premises!$A$18:$F$18,1,$CH18+1)),IF(INDEX(MHR[Schichtmodell],$CI18)=3,INDEX(LOC[F3S],INDEX(Premises!$A$18:$F$18,1,$CH18+1)),0)))),
IF(OR($T18="M",$T18="U"),INDEX(Premises!$A$21:$F$21,1,$CH18),
IF(OR($T18="F",$T18="S"),INDEX(Premises!$A$22:$F$22,1,$CH18),0)))*100/INDEX(Premises!$A$16:$F$16,1,$CH18))</f>
        <v>0</v>
      </c>
      <c r="V18" s="614">
        <f t="shared" ref="V18:V25" si="2">IF($U18=0,0,IFERROR($F18/$H18/IF($G18="s",3600,IF($G18="min",60,IF($G18="h",1,0)))*$S18*$U18,0))</f>
        <v>0</v>
      </c>
      <c r="W18" s="393"/>
      <c r="X18" s="386"/>
      <c r="Y18" s="394"/>
      <c r="Z18" s="395"/>
      <c r="AA18" s="611">
        <f t="shared" ref="AA18:AA25" si="3">IFERROR($X18*$Z18/$Y18/MAX(1,$H18),0)</f>
        <v>0</v>
      </c>
      <c r="AB18" s="393"/>
      <c r="AC18" s="386"/>
      <c r="AD18" s="394"/>
      <c r="AE18" s="396"/>
      <c r="AF18" s="611">
        <f t="shared" ref="AF18:AF25" si="4">IFERROR($AC18*$AE18/$AD18,0)</f>
        <v>0</v>
      </c>
      <c r="AG18" s="612" cm="1">
        <f t="array" ref="AG18">IF(($J18+$V18+$AF18)=0,0,INDEX(Premises!$A$30:$F$30,1,$CH18)/100)</f>
        <v>0</v>
      </c>
      <c r="AH18" s="397"/>
      <c r="AI18" s="398"/>
      <c r="AJ18" s="399"/>
      <c r="AK18" s="613">
        <f t="shared" ref="AK18:AK25" si="5">IF(COUNTBLANK($AH18:$AI18),0,$AH18*$AI18*$AG18)</f>
        <v>0</v>
      </c>
      <c r="AL18" s="614">
        <f t="shared" ref="AL18:AL25" si="6">($AK18+$AJ18*$AG18*(1-$AH18)+($J18+$V18+$AF18)*$AG18*(1-$AH18))</f>
        <v>0</v>
      </c>
      <c r="AM18" s="615" cm="1">
        <f t="array" ref="AM18">IF($CI18=0,0,IFERROR(INDEX(MHR[],$CI18,MATCH($CA18,MHR!$B$4:$AY$4,0)+11),0))</f>
        <v>0</v>
      </c>
      <c r="AN18" s="616" cm="1">
        <f t="array" ref="AN18">IF(($J18+$V18)=0,0,IFERROR(IF(INDEX(Premises!$A$41:$F$41,1,$CH18)&lt;&gt;0,INDEX(Premises!$A$41:$F$41,1,$CH18)/100,(IFERROR(($J18/$I18)*$AM18,0)/($V18+$J18+$R18+$AL18))),0))</f>
        <v>0</v>
      </c>
      <c r="AO18" s="617">
        <f t="shared" ref="AO18:AO25" si="7">IF(($J18+$V18)=0,0,IF(IFERROR(($J18+$R18+$V18+$AL18)*$AN18,0)&lt;&gt;IFERROR(($J18/$I18)*$AM18,0),($J18+$R18+$V18+$AL18)*$AN18,IFERROR(($J18/$I18)*$AM18,0)))</f>
        <v>0</v>
      </c>
      <c r="AP18" s="618">
        <f t="shared" ref="AP18:AP25" si="8">$V18+$J18+$R18+$AA18+$AF18+$AL18+$AO18</f>
        <v>0</v>
      </c>
      <c r="AQ18" s="393" t="str">
        <f>BOM!$A$5</f>
        <v>01-01-01 PCB Main UI</v>
      </c>
      <c r="AR18" s="392">
        <f>VLOOKUP($AQ18,BOM,6,0)</f>
        <v>1</v>
      </c>
      <c r="AS18" s="619" cm="1">
        <f t="array" ref="AS18">IF($CJ18=0,0,IFERROR(INDEX(MAT[Einheit],$CJ18,1),0))</f>
        <v>0</v>
      </c>
      <c r="AT18" s="620" cm="1">
        <f t="array" ref="AT18">IF($CJ18=0,0,IFERROR(INDEX(MAT[Preis],$CJ18,1),0))</f>
        <v>0</v>
      </c>
      <c r="AU18" s="621">
        <f t="shared" ref="AU18:AU25" si="9">$AR18*$AT18</f>
        <v>0</v>
      </c>
      <c r="AV18" s="622" cm="1">
        <f t="array" ref="AV18">IF($AU18&lt;=0,0,INDEX(Premises!$A$30:$F$30,1,$CH18)/100)</f>
        <v>0</v>
      </c>
      <c r="AW18" s="392"/>
      <c r="AX18" s="614">
        <f t="shared" ref="AX18:AX25" si="10">IF($AV18=0,0,($AU18+$AW18)*$AV18)</f>
        <v>0</v>
      </c>
      <c r="AY18" s="623" cm="1">
        <f t="array" ref="AY18">IF($AT18&lt;=0,0,IFERROR(IF(INDEX(Premises!$A$42:$F$42,1,$CH18)&lt;&gt;0,INDEX(Premises!$A$42:$F$42,1,$CH18)/100,(INDEX(MAT[],$CJ18,MATCH($CA18,MAT!$B$4:$AE$4,0))/($AR18*$CK18*INDEX(Premises!$A$13:$F$13,1,$CH18))+INDEX(MAT[],$CJ18,MATCH($CA18,MAT!$B$4:$AE$4,0)+7))/$AT18),0))</f>
        <v>0</v>
      </c>
      <c r="AZ18" s="614">
        <f t="shared" ref="AZ18:AZ25" si="11">IF($AY18=0,0,($AU18+$AX18)*$AY18)</f>
        <v>0</v>
      </c>
      <c r="BA18" s="618">
        <f t="shared" ref="BA18:BA25" si="12">$AU18+$AX18+$AZ18</f>
        <v>0</v>
      </c>
      <c r="BB18" s="618">
        <f t="shared" ref="BB18:BB25" si="13">$AP18+$BA18</f>
        <v>0</v>
      </c>
      <c r="BC18" s="622" cm="1">
        <f t="array" ref="BC18">IF($BB18&lt;=0,0,IF(BC$2=-1,0,INDEX(Premises!$A$32:$F$32,1,$CH18)/100))</f>
        <v>0</v>
      </c>
      <c r="BD18" s="614">
        <f t="shared" ref="BD18:BD25" si="14">IF($AP18&lt;=0,0,($AP18-$AA18-$AL18)*$BC18)</f>
        <v>0</v>
      </c>
      <c r="BE18" s="622" cm="1">
        <f t="array" ref="BE18">IF($BB18&lt;=0,0,IF(BE$2=-1,0,INDEX(Premises!$A$33:$F$33,1,$CH18)/100))</f>
        <v>0</v>
      </c>
      <c r="BF18" s="614">
        <f t="shared" ref="BF18:BF25" si="15">IF($BA18&lt;=0,0,$BA18*$BE18)</f>
        <v>0</v>
      </c>
      <c r="BG18" s="622" cm="1">
        <f t="array" ref="BG18">IF($BB18&lt;=0,0,IF(BG$2=-1,0,INDEX(Premises!$A$31:$F$31,1,$CH18)/100))</f>
        <v>0</v>
      </c>
      <c r="BH18" s="614">
        <f t="shared" ref="BH18:BH25" si="16">(($AP18-$AA18-$AL18)+$BA18)*$BG18</f>
        <v>0</v>
      </c>
      <c r="BI18" s="618">
        <f t="shared" ref="BI18:BI25" si="17">$BB18+$BD18+$BF18+$BH18</f>
        <v>0</v>
      </c>
      <c r="BJ18" s="622" cm="1">
        <f t="array" ref="BJ18">IF($BB18&lt;=0,0,IF(BJ$2=-1,0,INDEX(Premises!$A$35:$F$35,1,$CH18)/100))</f>
        <v>0</v>
      </c>
      <c r="BK18" s="614">
        <f t="shared" ref="BK18:BK25" si="18">IF($AP18&lt;=0,0,($AP18-$AL18-$AA18)*$BJ18)</f>
        <v>0</v>
      </c>
      <c r="BL18" s="622" cm="1">
        <f t="array" ref="BL18">IF($BB18&lt;=0,0,IF(BL$2=-1,0,INDEX(Premises!$A$36:$F$36,1,$CH18)/100))</f>
        <v>0</v>
      </c>
      <c r="BM18" s="614">
        <f t="shared" ref="BM18:BM25" si="19">IF($AU18&lt;=0,0,($AR18*$AT18)*$BL18)</f>
        <v>0</v>
      </c>
      <c r="BN18" s="622" cm="1">
        <f t="array" ref="BN18">IF($BB18&lt;=0,0,IF(BN$2=-1,0,INDEX(Premises!$A$34:$F$34,1,$CH18)/100))</f>
        <v>0</v>
      </c>
      <c r="BO18" s="614">
        <f t="shared" ref="BO18:BO25" si="20">(($AP18-$AL18-$AA18)+($AR18*$AT18))*$BN18</f>
        <v>0</v>
      </c>
      <c r="BP18" s="622" cm="1">
        <f t="array" ref="BP18">IF($BI18=0,0,INDEX(Premises!$A$37:$F$37,1,$CH18)/100)</f>
        <v>0</v>
      </c>
      <c r="BQ18" s="392"/>
      <c r="BR18" s="614">
        <f t="shared" ref="BR18:BR25" si="21">($BI18+$BK18+$BM18+$BO18)*$BP18+$BQ18</f>
        <v>0</v>
      </c>
      <c r="BS18" s="624">
        <f t="shared" ref="BS18:BS25" si="22">BI18+BK18+BM18+BO18+BR18</f>
        <v>0</v>
      </c>
      <c r="BT18" s="624">
        <f t="shared" ref="BT18:BT25" si="23">IF($BS18=0,0,$CK18*$BS18)</f>
        <v>0</v>
      </c>
      <c r="BU18" s="625">
        <f t="shared" ref="BU18:BU25" si="24">IF($BT18=0,0,MAX(1,$EB18/$DP18))</f>
        <v>0</v>
      </c>
      <c r="BV18" s="400"/>
      <c r="BW18" s="401"/>
      <c r="BX18" s="401"/>
      <c r="BY18" s="402"/>
      <c r="BZ18" s="946"/>
      <c r="CA18" s="263" cm="1">
        <f t="array" ref="CA18">IF($BZ18&gt;0,VALUE(LEFT($BZ18,IF(ISERROR(FIND("-",$BZ18)),LEN($BZ18),FIND("-",$BZ18)-1))),INDEX($CA$1:$CA18,MAX(1,$CD18)))</f>
        <v>1</v>
      </c>
      <c r="CB18" s="263" cm="1">
        <f t="array" ref="CB18">IF($BT18=0,0,IF(LEN($BZ18)-LEN(SUBSTITUTE($BZ18,"-",""))&gt;1,
VALUE(MID($BZ18,FIND("-",$BZ18)+1,FIND("-",$BZ18,FIND("-",$BZ18)+1)-FIND("-",$BZ18)-1)),IF($BZ18&gt;0,0,INDEX($CB$1:$CB18,MAX(1,$CD18)))))</f>
        <v>0</v>
      </c>
      <c r="CC18" s="263" cm="1">
        <f t="array" ref="CC18">IF($BT18=0,0,IF(NOT(ISERROR(FIND("-",BZ18))),
VALUE(RIGHT($BZ18,LEN($BZ18)-IF(LEN($BZ18)-LEN(SUBSTITUTE($BZ18,"-",""))=1,FIND("-",$BZ18),FIND("-",$BZ18,FIND("-",$BZ18)+1)))),
IF($BZ18&gt;0,0,INDEX($CC$1:$CC18,MAX(1,$CD18)))))</f>
        <v>0</v>
      </c>
      <c r="CD18" s="376">
        <f>MATCH(0,$CE$1:$CE18,-1)</f>
        <v>17</v>
      </c>
      <c r="CE18" s="263"/>
      <c r="CF18" s="377"/>
      <c r="CG18" s="376" cm="1">
        <f t="array" ref="CG18">INDEX($CG$1:$CG18,$CD18)</f>
        <v>4</v>
      </c>
      <c r="CH18" s="263">
        <f>MATCH($CA18,Premises!$A$10:$F$10,0)</f>
        <v>4</v>
      </c>
      <c r="CI18" s="263">
        <f>IF(ISBLANK($E18),0,IFERROR(MATCH($E18,MHR[Bezeichnung],0),0))</f>
        <v>0</v>
      </c>
      <c r="CJ18" s="377">
        <f>IF(ISBLANK($AQ18),0,IFERROR(MATCH($AQ18,MAT[Bezeichnung],0),0))</f>
        <v>0</v>
      </c>
      <c r="CK18" s="263" cm="1">
        <f t="array" ref="CK18">INDEX($D$1:$D18,$CD18)</f>
        <v>1</v>
      </c>
      <c r="CL18" s="263"/>
      <c r="CM18" s="378"/>
      <c r="CN18" s="379" cm="1">
        <f t="array" ref="CN18">IF($CB18=0,0,IF($CB18=INDEX($CB$1:$CB18,$CD18),INDEX($CN$1:$CN18,$CD18),$CP18))</f>
        <v>0</v>
      </c>
      <c r="CO18" s="378"/>
      <c r="CP18" s="379" cm="1">
        <f t="array" ref="CP18">IF($CC18=0,0,INDEX($CP$1:$CP18,$CD18))</f>
        <v>0</v>
      </c>
      <c r="CQ18" s="380"/>
      <c r="CR18" s="381"/>
      <c r="CS18" s="381"/>
      <c r="CT18" s="948"/>
      <c r="CU18" s="2"/>
      <c r="CV18" s="630">
        <f t="shared" ref="CV18:CV25" si="25">$J18*$CK18</f>
        <v>0</v>
      </c>
      <c r="CW18" s="631">
        <f t="shared" ref="CW18:CW25" si="26">$R18*$CK18</f>
        <v>0</v>
      </c>
      <c r="CX18" s="631">
        <f t="shared" ref="CX18:CX25" si="27">$V18*$CK18</f>
        <v>0</v>
      </c>
      <c r="CY18" s="631">
        <f t="shared" ref="CY18:CY25" si="28">$AA18*$CK18</f>
        <v>0</v>
      </c>
      <c r="CZ18" s="631">
        <f t="shared" ref="CZ18:CZ25" si="29">$AF18*$CK18</f>
        <v>0</v>
      </c>
      <c r="DA18" s="631">
        <f t="shared" ref="DA18:DA25" si="30">$AL18*$CK18</f>
        <v>0</v>
      </c>
      <c r="DB18" s="631">
        <f t="shared" ref="DB18:DB25" si="31">$AO18*$CK18</f>
        <v>0</v>
      </c>
      <c r="DC18" s="632">
        <f t="shared" ref="DC18:DC25" si="32">$AP18*$CK18</f>
        <v>0</v>
      </c>
      <c r="DD18" s="631">
        <f t="shared" ref="DD18:DD25" si="33">$AU18*$CK18</f>
        <v>0</v>
      </c>
      <c r="DE18" s="631">
        <f t="shared" ref="DE18:DE25" si="34">$AX18*$CK18</f>
        <v>0</v>
      </c>
      <c r="DF18" s="631">
        <f t="shared" ref="DF18:DF25" si="35">$AZ18*$CK18</f>
        <v>0</v>
      </c>
      <c r="DG18" s="632">
        <f t="shared" ref="DG18:DG25" si="36">$BA18*$CK18</f>
        <v>0</v>
      </c>
      <c r="DH18" s="632">
        <f t="shared" ref="DH18:DH25" si="37">$BB18*$CK18</f>
        <v>0</v>
      </c>
      <c r="DI18" s="631">
        <f t="shared" ref="DI18:DI25" si="38">$BD18*$CK18</f>
        <v>0</v>
      </c>
      <c r="DJ18" s="631">
        <f t="shared" ref="DJ18:DJ25" si="39">$BF18*$CK18</f>
        <v>0</v>
      </c>
      <c r="DK18" s="631">
        <f t="shared" ref="DK18:DK25" si="40">$BH18*$CK18</f>
        <v>0</v>
      </c>
      <c r="DL18" s="631">
        <f t="shared" ref="DL18:DL25" si="41">$BK18*$CK18</f>
        <v>0</v>
      </c>
      <c r="DM18" s="631">
        <f t="shared" ref="DM18:DM25" si="42">$BM18*$CK18</f>
        <v>0</v>
      </c>
      <c r="DN18" s="631">
        <f t="shared" ref="DN18:DN25" si="43">$BO18*$CK18</f>
        <v>0</v>
      </c>
      <c r="DO18" s="631">
        <f t="shared" ref="DO18:DO25" si="44">$BR18*$CK18</f>
        <v>0</v>
      </c>
      <c r="DP18" s="634">
        <f t="shared" ref="DP18:DP25" si="45">$CK18*($BB18+$BD18+$BF18+$BH18+$BK18+$BM18+$BO18+$BR18)</f>
        <v>0</v>
      </c>
      <c r="DQ18" s="929">
        <f>IF($CB18=0,0,$DP18*_xlfn.XLOOKUP($CB18,Premises!$A$10:$F$10,Premises!$A$30:$F$30)/100)</f>
        <v>0</v>
      </c>
      <c r="DR18" s="633">
        <f>IFERROR(SUM($DP18:$DQ18)*IF(INDEX(Premises!$A$42:$F$42,1,MATCH($CB18,Premises!$A$10:$F$10,0))&gt;0,INDEX(Premises!$A$42:$F$42,1,MATCH($CB18,Premises!$A$10:$F$10,0))%,$CN18),0)</f>
        <v>0</v>
      </c>
      <c r="DS18" s="633" cm="1">
        <f t="array" ref="DS18">IF($CB18=0,0,SUM($DP18:$DR18)*_xlfn.XLOOKUP($CB18,Premises!$A$10:$F$10,IF(INDEX(Settings[],MATCH(3001,Settings[ID],0),2)="B",Premises!$A$33:$F$33,Premises!$A$31:$F$31))/100)</f>
        <v>0</v>
      </c>
      <c r="DT18" s="633" cm="1">
        <f t="array" ref="DT18">IF($CB18=0,0,$DP18*_xlfn.XLOOKUP($CB18,Premises!$A$10:$F$10,IF(INDEX(Settings[],MATCH(3002,Settings[ID],0),2)="B",Premises!$A$36:$F$36,Premises!$A$34:$F$34))/100)</f>
        <v>0</v>
      </c>
      <c r="DU18" s="633">
        <f>IF($CB18=0,0,SUM($DP18:$DT18)*_xlfn.XLOOKUP($CB18,Premises!$A$10:$F$10,Premises!$A$37:$F$37)/100)</f>
        <v>0</v>
      </c>
      <c r="DV18" s="932">
        <f t="shared" ref="DV18:DV25" si="46">SUM($DP18:$DU18)</f>
        <v>0</v>
      </c>
      <c r="DW18" s="929">
        <f>IF($CC18=0,0,$DV18*_xlfn.XLOOKUP($CC18,Premises!$A$10:$F$10,Premises!$A$30:$F$30)/100)</f>
        <v>0</v>
      </c>
      <c r="DX18" s="633">
        <f>IFERROR(SUM($DV18:$DW18)*IF(INDEX(Premises!$A$42:$F$42,1,MATCH($CC18,Premises!$A$10:$F$10,0))&gt;0,INDEX(Premises!$A$42:$F$42,1,MATCH($CC18,Premises!$A$10:$F$10,0))%,$CP18),0)</f>
        <v>0</v>
      </c>
      <c r="DY18" s="633" cm="1">
        <f t="array" ref="DY18">IF($CC18=0,0,SUM($DV18:$DX18)*_xlfn.XLOOKUP($CC18,Premises!$A$10:$F$10,IF(INDEX(Settings[],MATCH(3001,Settings[ID],0),2)="B",Premises!$A$33:$F$33,Premises!$A$31:$F$31))/100)</f>
        <v>0</v>
      </c>
      <c r="DZ18" s="633" cm="1">
        <f t="array" ref="DZ18">IF($CC18=0,0,$DV18*_xlfn.XLOOKUP($CC18,Premises!$A$10:$F$10,IF(INDEX(Settings[],MATCH(3002,Settings[ID],0),2)="B",Premises!$A$36:$F$36,Premises!$A$34:$F$34))/100)</f>
        <v>0</v>
      </c>
      <c r="EA18" s="633">
        <f>IF($CC18=0,0,SUM($DV18:$DZ18)*_xlfn.XLOOKUP($CC18,Premises!$A$10:$F$10,Premises!$A$37:$F$37)/100)</f>
        <v>0</v>
      </c>
      <c r="EB18" s="634">
        <f t="shared" ref="EB18:EB25" si="47">SUM($DV18:$EA18)</f>
        <v>0</v>
      </c>
      <c r="EC18" s="783"/>
      <c r="ED18" s="1082"/>
      <c r="EE18" s="633"/>
      <c r="EF18" s="1088"/>
      <c r="EG18" s="1086"/>
      <c r="EH18" s="1086"/>
      <c r="EI18" s="1086"/>
      <c r="EJ18" s="1086"/>
      <c r="EK18" s="1086"/>
      <c r="EL18" s="1086"/>
      <c r="EM18" s="1088"/>
      <c r="EN18" s="1086"/>
      <c r="EO18" s="1086"/>
      <c r="EP18" s="1086"/>
      <c r="EQ18" s="1086"/>
      <c r="ER18" s="1088"/>
      <c r="ES18" s="1086"/>
      <c r="ET18" s="1086"/>
      <c r="EU18" s="1086"/>
      <c r="EV18" s="1086"/>
      <c r="EW18" s="1086"/>
      <c r="EX18" s="1089"/>
      <c r="EY18" s="2"/>
      <c r="EZ18" s="2"/>
      <c r="FA18" s="2"/>
      <c r="FB18" s="2"/>
      <c r="FC18" s="2"/>
      <c r="FD18" s="2"/>
      <c r="FE18" s="2"/>
      <c r="FF18" s="2"/>
      <c r="FG18" s="2"/>
      <c r="FH18" s="2"/>
      <c r="FI18" s="2"/>
      <c r="FJ18" s="403"/>
      <c r="FK18" s="404"/>
      <c r="FL18" s="405"/>
      <c r="FM18" s="948"/>
    </row>
    <row r="19" spans="1:169" s="13" customFormat="1" ht="12.75" customHeight="1">
      <c r="A19" s="215"/>
      <c r="B19" s="385"/>
      <c r="C19" s="386"/>
      <c r="D19" s="629"/>
      <c r="E19" s="387"/>
      <c r="F19" s="388"/>
      <c r="G19" s="388"/>
      <c r="H19" s="388"/>
      <c r="I19" s="620" cm="1">
        <f t="array" ref="I19">IF($CI19=0,0,IFERROR(INDEX(MHR[],$CI19,MATCH($CA19,MHR!$B$4:$AY$4,0)),0))</f>
        <v>0</v>
      </c>
      <c r="J19" s="617">
        <f t="shared" si="0"/>
        <v>0</v>
      </c>
      <c r="K19" s="389"/>
      <c r="L19" s="390"/>
      <c r="M19" s="849"/>
      <c r="N19" s="390"/>
      <c r="O19" s="388"/>
      <c r="P19" s="628" cm="1">
        <f t="array" ref="P19">IF($K19=0,0,IFERROR(ROUNDUP(IF(ISNUMBER($K19),$K19,INDEX($D$1:$D19,$CD19)*INDEX(Premises!$A$13:$F$13,1,$CH19)/IF(OR($K19="T",$K19="D"),250,IF($K19="W",50,IF($K19="M",12,IF(OR($K19="HJ",$K19="HY"),2,IF(OR($K19="J",$K19="Y"),1,0)))))),0),0))</f>
        <v>0</v>
      </c>
      <c r="Q19" s="620" cm="1">
        <f t="array" ref="Q19">IF($K19=0,0,IFERROR(INDEX(Premises!$A$22:$F$22,1,$CH19)*100/INDEX(Premises!$A$16:$F$16,1,$CH19),0))</f>
        <v>0</v>
      </c>
      <c r="R19" s="617">
        <f t="shared" si="1"/>
        <v>0</v>
      </c>
      <c r="S19" s="391"/>
      <c r="T19" s="392"/>
      <c r="U19" s="620" cm="1">
        <f t="array" ref="U19">IF(COUNTBLANK($S19:$T19),0,
IF(AND(INDEX(MHR[Schichtmodell],$CI19)&lt;&gt;0,INDEX(MHR[Schichtmodell],$CI19)&lt;&gt;INDEX(Premises!$A$20:$F$20,1,$CH19)),ExchangeRate*
IF(OR($T19="M",$T19="U"),IF(INDEX(MHR[Schichtmodell],$CI19)=1,INDEX(LOC[M1S],INDEX(Premises!$A$18:$F$18,1,$CH19+1)),IF(INDEX(MHR[Schichtmodell],$CI19)=2,INDEX(LOC[M2S],INDEX(Premises!$A$18:$F$18,1,$CH19+1),IF(INDEX(MHR[Schichtmodell],$CI19)=3,INDEX(LOC[M3S],INDEX(Premises!$A$18:$F$18,1,$CH19+1)),0)))),
IF(INDEX(MHR[Schichtmodell],$CI19)=1,INDEX(LOC[F1S],INDEX(Premises!$A$18:$F$18,1,$CH19+1)),IF(INDEX(MHR[Schichtmodell],$CI19)=2,INDEX(LOC[F2S],INDEX(Premises!$A$18:$F$18,1,$CH19+1)),IF(INDEX(MHR[Schichtmodell],$CI19)=3,INDEX(LOC[F3S],INDEX(Premises!$A$18:$F$18,1,$CH19+1)),0)))),
IF(OR($T19="M",$T19="U"),INDEX(Premises!$A$21:$F$21,1,$CH19),
IF(OR($T19="F",$T19="S"),INDEX(Premises!$A$22:$F$22,1,$CH19),0)))*100/INDEX(Premises!$A$16:$F$16,1,$CH19))</f>
        <v>0</v>
      </c>
      <c r="V19" s="614">
        <f t="shared" si="2"/>
        <v>0</v>
      </c>
      <c r="W19" s="393"/>
      <c r="X19" s="386"/>
      <c r="Y19" s="394"/>
      <c r="Z19" s="395"/>
      <c r="AA19" s="611">
        <f t="shared" si="3"/>
        <v>0</v>
      </c>
      <c r="AB19" s="393"/>
      <c r="AC19" s="386"/>
      <c r="AD19" s="394"/>
      <c r="AE19" s="396"/>
      <c r="AF19" s="611">
        <f t="shared" si="4"/>
        <v>0</v>
      </c>
      <c r="AG19" s="612" cm="1">
        <f t="array" ref="AG19">IF(($J19+$V19+$AF19)=0,0,INDEX(Premises!$A$30:$F$30,1,$CH19)/100)</f>
        <v>0</v>
      </c>
      <c r="AH19" s="397"/>
      <c r="AI19" s="398"/>
      <c r="AJ19" s="399"/>
      <c r="AK19" s="613">
        <f t="shared" si="5"/>
        <v>0</v>
      </c>
      <c r="AL19" s="614">
        <f t="shared" si="6"/>
        <v>0</v>
      </c>
      <c r="AM19" s="615" cm="1">
        <f t="array" ref="AM19">IF($CI19=0,0,IFERROR(INDEX(MHR[],$CI19,MATCH($CA19,MHR!$B$4:$AY$4,0)+11),0))</f>
        <v>0</v>
      </c>
      <c r="AN19" s="616" cm="1">
        <f t="array" ref="AN19">IF(($J19+$V19)=0,0,IFERROR(IF(INDEX(Premises!$A$41:$F$41,1,$CH19)&lt;&gt;0,INDEX(Premises!$A$41:$F$41,1,$CH19)/100,(IFERROR(($J19/$I19)*$AM19,0)/($V19+$J19+$R19+$AL19))),0))</f>
        <v>0</v>
      </c>
      <c r="AO19" s="617">
        <f t="shared" si="7"/>
        <v>0</v>
      </c>
      <c r="AP19" s="618">
        <f t="shared" si="8"/>
        <v>0</v>
      </c>
      <c r="AQ19" s="393" t="str">
        <f>BOM!$A$6</f>
        <v>01-01-02 PCB UI</v>
      </c>
      <c r="AR19" s="392">
        <f>VLOOKUP($AQ19,BOM,6,0)</f>
        <v>1</v>
      </c>
      <c r="AS19" s="619" cm="1">
        <f t="array" ref="AS19">IF($CJ19=0,0,IFERROR(INDEX(MAT[Einheit],$CJ19,1),0))</f>
        <v>0</v>
      </c>
      <c r="AT19" s="620" cm="1">
        <f t="array" ref="AT19">IF($CJ19=0,0,IFERROR(INDEX(MAT[Preis],$CJ19,1),0))</f>
        <v>0</v>
      </c>
      <c r="AU19" s="621">
        <f t="shared" si="9"/>
        <v>0</v>
      </c>
      <c r="AV19" s="622" cm="1">
        <f t="array" ref="AV19">IF($AU19&lt;=0,0,INDEX(Premises!$A$30:$F$30,1,$CH19)/100)</f>
        <v>0</v>
      </c>
      <c r="AW19" s="392"/>
      <c r="AX19" s="614">
        <f t="shared" si="10"/>
        <v>0</v>
      </c>
      <c r="AY19" s="623" cm="1">
        <f t="array" ref="AY19">IF($AT19&lt;=0,0,IFERROR(IF(INDEX(Premises!$A$42:$F$42,1,$CH19)&lt;&gt;0,INDEX(Premises!$A$42:$F$42,1,$CH19)/100,(INDEX(MAT[],$CJ19,MATCH($CA19,MAT!$B$4:$AE$4,0))/($AR19*$CK19*INDEX(Premises!$A$13:$F$13,1,$CH19))+INDEX(MAT[],$CJ19,MATCH($CA19,MAT!$B$4:$AE$4,0)+7))/$AT19),0))</f>
        <v>0</v>
      </c>
      <c r="AZ19" s="614">
        <f t="shared" si="11"/>
        <v>0</v>
      </c>
      <c r="BA19" s="618">
        <f t="shared" si="12"/>
        <v>0</v>
      </c>
      <c r="BB19" s="618">
        <f t="shared" si="13"/>
        <v>0</v>
      </c>
      <c r="BC19" s="622" cm="1">
        <f t="array" ref="BC19">IF($BB19&lt;=0,0,IF(BC$2=-1,0,INDEX(Premises!$A$32:$F$32,1,$CH19)/100))</f>
        <v>0</v>
      </c>
      <c r="BD19" s="614">
        <f t="shared" si="14"/>
        <v>0</v>
      </c>
      <c r="BE19" s="622" cm="1">
        <f t="array" ref="BE19">IF($BB19&lt;=0,0,IF(BE$2=-1,0,INDEX(Premises!$A$33:$F$33,1,$CH19)/100))</f>
        <v>0</v>
      </c>
      <c r="BF19" s="614">
        <f t="shared" si="15"/>
        <v>0</v>
      </c>
      <c r="BG19" s="622" cm="1">
        <f t="array" ref="BG19">IF($BB19&lt;=0,0,IF(BG$2=-1,0,INDEX(Premises!$A$31:$F$31,1,$CH19)/100))</f>
        <v>0</v>
      </c>
      <c r="BH19" s="614">
        <f t="shared" si="16"/>
        <v>0</v>
      </c>
      <c r="BI19" s="618">
        <f t="shared" si="17"/>
        <v>0</v>
      </c>
      <c r="BJ19" s="622" cm="1">
        <f t="array" ref="BJ19">IF($BB19&lt;=0,0,IF(BJ$2=-1,0,INDEX(Premises!$A$35:$F$35,1,$CH19)/100))</f>
        <v>0</v>
      </c>
      <c r="BK19" s="614">
        <f t="shared" si="18"/>
        <v>0</v>
      </c>
      <c r="BL19" s="622" cm="1">
        <f t="array" ref="BL19">IF($BB19&lt;=0,0,IF(BL$2=-1,0,INDEX(Premises!$A$36:$F$36,1,$CH19)/100))</f>
        <v>0</v>
      </c>
      <c r="BM19" s="614">
        <f t="shared" si="19"/>
        <v>0</v>
      </c>
      <c r="BN19" s="622" cm="1">
        <f t="array" ref="BN19">IF($BB19&lt;=0,0,IF(BN$2=-1,0,INDEX(Premises!$A$34:$F$34,1,$CH19)/100))</f>
        <v>0</v>
      </c>
      <c r="BO19" s="614">
        <f t="shared" si="20"/>
        <v>0</v>
      </c>
      <c r="BP19" s="622" cm="1">
        <f t="array" ref="BP19">IF($BI19=0,0,INDEX(Premises!$A$37:$F$37,1,$CH19)/100)</f>
        <v>0</v>
      </c>
      <c r="BQ19" s="392"/>
      <c r="BR19" s="614">
        <f t="shared" si="21"/>
        <v>0</v>
      </c>
      <c r="BS19" s="624">
        <f t="shared" si="22"/>
        <v>0</v>
      </c>
      <c r="BT19" s="624">
        <f t="shared" si="23"/>
        <v>0</v>
      </c>
      <c r="BU19" s="625">
        <f t="shared" si="24"/>
        <v>0</v>
      </c>
      <c r="BV19" s="400"/>
      <c r="BW19" s="401"/>
      <c r="BX19" s="401"/>
      <c r="BY19" s="402"/>
      <c r="BZ19" s="946"/>
      <c r="CA19" s="263" cm="1">
        <f t="array" ref="CA19">IF($BZ19&gt;0,VALUE(LEFT($BZ19,IF(ISERROR(FIND("-",$BZ19)),LEN($BZ19),FIND("-",$BZ19)-1))),INDEX($CA$1:$CA19,MAX(1,$CD19)))</f>
        <v>1</v>
      </c>
      <c r="CB19" s="263" cm="1">
        <f t="array" ref="CB19">IF($BT19=0,0,IF(LEN($BZ19)-LEN(SUBSTITUTE($BZ19,"-",""))&gt;1,
VALUE(MID($BZ19,FIND("-",$BZ19)+1,FIND("-",$BZ19,FIND("-",$BZ19)+1)-FIND("-",$BZ19)-1)),IF($BZ19&gt;0,0,INDEX($CB$1:$CB19,MAX(1,$CD19)))))</f>
        <v>0</v>
      </c>
      <c r="CC19" s="263" cm="1">
        <f t="array" ref="CC19">IF($BT19=0,0,IF(NOT(ISERROR(FIND("-",BZ19))),
VALUE(RIGHT($BZ19,LEN($BZ19)-IF(LEN($BZ19)-LEN(SUBSTITUTE($BZ19,"-",""))=1,FIND("-",$BZ19),FIND("-",$BZ19,FIND("-",$BZ19)+1)))),
IF($BZ19&gt;0,0,INDEX($CC$1:$CC19,MAX(1,$CD19)))))</f>
        <v>0</v>
      </c>
      <c r="CD19" s="376">
        <f>MATCH(0,$CE$1:$CE19,-1)</f>
        <v>17</v>
      </c>
      <c r="CE19" s="263"/>
      <c r="CF19" s="377"/>
      <c r="CG19" s="376" cm="1">
        <f t="array" ref="CG19">INDEX($CG$1:$CG19,$CD19)</f>
        <v>4</v>
      </c>
      <c r="CH19" s="263">
        <f>MATCH($CA19,Premises!$A$10:$F$10,0)</f>
        <v>4</v>
      </c>
      <c r="CI19" s="263">
        <f>IF(ISBLANK($E19),0,IFERROR(MATCH($E19,MHR[Bezeichnung],0),0))</f>
        <v>0</v>
      </c>
      <c r="CJ19" s="377">
        <f>IF(ISBLANK($AQ19),0,IFERROR(MATCH($AQ19,MAT[Bezeichnung],0),0))</f>
        <v>0</v>
      </c>
      <c r="CK19" s="263" cm="1">
        <f t="array" ref="CK19">INDEX($D$1:$D19,$CD19)</f>
        <v>1</v>
      </c>
      <c r="CL19" s="263"/>
      <c r="CM19" s="378"/>
      <c r="CN19" s="379" cm="1">
        <f t="array" ref="CN19">IF($CB19=0,0,IF($CB19=INDEX($CB$1:$CB19,$CD19),INDEX($CN$1:$CN19,$CD19),$CP19))</f>
        <v>0</v>
      </c>
      <c r="CO19" s="378"/>
      <c r="CP19" s="379" cm="1">
        <f t="array" ref="CP19">IF($CC19=0,0,INDEX($CP$1:$CP19,$CD19))</f>
        <v>0</v>
      </c>
      <c r="CQ19" s="380"/>
      <c r="CR19" s="381"/>
      <c r="CS19" s="381"/>
      <c r="CT19" s="948"/>
      <c r="CU19" s="2"/>
      <c r="CV19" s="630">
        <f t="shared" si="25"/>
        <v>0</v>
      </c>
      <c r="CW19" s="631">
        <f t="shared" si="26"/>
        <v>0</v>
      </c>
      <c r="CX19" s="631">
        <f t="shared" si="27"/>
        <v>0</v>
      </c>
      <c r="CY19" s="631">
        <f t="shared" si="28"/>
        <v>0</v>
      </c>
      <c r="CZ19" s="631">
        <f t="shared" si="29"/>
        <v>0</v>
      </c>
      <c r="DA19" s="631">
        <f t="shared" si="30"/>
        <v>0</v>
      </c>
      <c r="DB19" s="631">
        <f t="shared" si="31"/>
        <v>0</v>
      </c>
      <c r="DC19" s="632">
        <f t="shared" si="32"/>
        <v>0</v>
      </c>
      <c r="DD19" s="631">
        <f t="shared" si="33"/>
        <v>0</v>
      </c>
      <c r="DE19" s="631">
        <f t="shared" si="34"/>
        <v>0</v>
      </c>
      <c r="DF19" s="631">
        <f t="shared" si="35"/>
        <v>0</v>
      </c>
      <c r="DG19" s="632">
        <f t="shared" si="36"/>
        <v>0</v>
      </c>
      <c r="DH19" s="632">
        <f t="shared" si="37"/>
        <v>0</v>
      </c>
      <c r="DI19" s="631">
        <f t="shared" si="38"/>
        <v>0</v>
      </c>
      <c r="DJ19" s="631">
        <f t="shared" si="39"/>
        <v>0</v>
      </c>
      <c r="DK19" s="631">
        <f t="shared" si="40"/>
        <v>0</v>
      </c>
      <c r="DL19" s="631">
        <f t="shared" si="41"/>
        <v>0</v>
      </c>
      <c r="DM19" s="631">
        <f t="shared" si="42"/>
        <v>0</v>
      </c>
      <c r="DN19" s="631">
        <f t="shared" si="43"/>
        <v>0</v>
      </c>
      <c r="DO19" s="631">
        <f t="shared" si="44"/>
        <v>0</v>
      </c>
      <c r="DP19" s="634">
        <f t="shared" si="45"/>
        <v>0</v>
      </c>
      <c r="DQ19" s="929">
        <f>IF($CB19=0,0,$DP19*_xlfn.XLOOKUP($CB19,Premises!$A$10:$F$10,Premises!$A$30:$F$30)/100)</f>
        <v>0</v>
      </c>
      <c r="DR19" s="633">
        <f>IFERROR(SUM($DP19:$DQ19)*IF(INDEX(Premises!$A$42:$F$42,1,MATCH($CB19,Premises!$A$10:$F$10,0))&gt;0,INDEX(Premises!$A$42:$F$42,1,MATCH($CB19,Premises!$A$10:$F$10,0))%,$CN19),0)</f>
        <v>0</v>
      </c>
      <c r="DS19" s="633" cm="1">
        <f t="array" ref="DS19">IF($CB19=0,0,SUM($DP19:$DR19)*_xlfn.XLOOKUP($CB19,Premises!$A$10:$F$10,IF(INDEX(Settings[],MATCH(3001,Settings[ID],0),2)="B",Premises!$A$33:$F$33,Premises!$A$31:$F$31))/100)</f>
        <v>0</v>
      </c>
      <c r="DT19" s="633" cm="1">
        <f t="array" ref="DT19">IF($CB19=0,0,$DP19*_xlfn.XLOOKUP($CB19,Premises!$A$10:$F$10,IF(INDEX(Settings[],MATCH(3002,Settings[ID],0),2)="B",Premises!$A$36:$F$36,Premises!$A$34:$F$34))/100)</f>
        <v>0</v>
      </c>
      <c r="DU19" s="633">
        <f>IF($CB19=0,0,SUM($DP19:$DT19)*_xlfn.XLOOKUP($CB19,Premises!$A$10:$F$10,Premises!$A$37:$F$37)/100)</f>
        <v>0</v>
      </c>
      <c r="DV19" s="932">
        <f t="shared" si="46"/>
        <v>0</v>
      </c>
      <c r="DW19" s="929">
        <f>IF($CC19=0,0,$DV19*_xlfn.XLOOKUP($CC19,Premises!$A$10:$F$10,Premises!$A$30:$F$30)/100)</f>
        <v>0</v>
      </c>
      <c r="DX19" s="633">
        <f>IFERROR(SUM($DV19:$DW19)*IF(INDEX(Premises!$A$42:$F$42,1,MATCH($CC19,Premises!$A$10:$F$10,0))&gt;0,INDEX(Premises!$A$42:$F$42,1,MATCH($CC19,Premises!$A$10:$F$10,0))%,$CP19),0)</f>
        <v>0</v>
      </c>
      <c r="DY19" s="633" cm="1">
        <f t="array" ref="DY19">IF($CC19=0,0,SUM($DV19:$DX19)*_xlfn.XLOOKUP($CC19,Premises!$A$10:$F$10,IF(INDEX(Settings[],MATCH(3001,Settings[ID],0),2)="B",Premises!$A$33:$F$33,Premises!$A$31:$F$31))/100)</f>
        <v>0</v>
      </c>
      <c r="DZ19" s="633" cm="1">
        <f t="array" ref="DZ19">IF($CC19=0,0,$DV19*_xlfn.XLOOKUP($CC19,Premises!$A$10:$F$10,IF(INDEX(Settings[],MATCH(3002,Settings[ID],0),2)="B",Premises!$A$36:$F$36,Premises!$A$34:$F$34))/100)</f>
        <v>0</v>
      </c>
      <c r="EA19" s="633">
        <f>IF($CC19=0,0,SUM($DV19:$DZ19)*_xlfn.XLOOKUP($CC19,Premises!$A$10:$F$10,Premises!$A$37:$F$37)/100)</f>
        <v>0</v>
      </c>
      <c r="EB19" s="634">
        <f t="shared" si="47"/>
        <v>0</v>
      </c>
      <c r="EC19" s="783"/>
      <c r="ED19" s="1082"/>
      <c r="EE19" s="633"/>
      <c r="EF19" s="1088"/>
      <c r="EG19" s="1086"/>
      <c r="EH19" s="1086"/>
      <c r="EI19" s="1086"/>
      <c r="EJ19" s="1086"/>
      <c r="EK19" s="1086"/>
      <c r="EL19" s="1086"/>
      <c r="EM19" s="1088"/>
      <c r="EN19" s="1086"/>
      <c r="EO19" s="1086"/>
      <c r="EP19" s="1086"/>
      <c r="EQ19" s="1086"/>
      <c r="ER19" s="1088"/>
      <c r="ES19" s="1086"/>
      <c r="ET19" s="1086"/>
      <c r="EU19" s="1086"/>
      <c r="EV19" s="1086"/>
      <c r="EW19" s="1086"/>
      <c r="EX19" s="1089"/>
      <c r="EY19" s="2"/>
      <c r="EZ19" s="2"/>
      <c r="FA19" s="2"/>
      <c r="FB19" s="2"/>
      <c r="FC19" s="2"/>
      <c r="FD19" s="2"/>
      <c r="FE19" s="2"/>
      <c r="FF19" s="2"/>
      <c r="FG19" s="2"/>
      <c r="FH19" s="2"/>
      <c r="FI19" s="2"/>
      <c r="FJ19" s="403"/>
      <c r="FK19" s="404"/>
      <c r="FL19" s="405"/>
      <c r="FM19" s="948"/>
    </row>
    <row r="20" spans="1:169" s="13" customFormat="1" ht="12.75" customHeight="1">
      <c r="A20" s="215"/>
      <c r="B20" s="385"/>
      <c r="C20" s="386"/>
      <c r="D20" s="629"/>
      <c r="E20" s="387"/>
      <c r="F20" s="388"/>
      <c r="G20" s="388"/>
      <c r="H20" s="388"/>
      <c r="I20" s="620" cm="1">
        <f t="array" ref="I20">IF($CI20=0,0,IFERROR(INDEX(MHR[],$CI20,MATCH($CA20,MHR!$B$4:$AY$4,0)),0))</f>
        <v>0</v>
      </c>
      <c r="J20" s="617">
        <f t="shared" si="0"/>
        <v>0</v>
      </c>
      <c r="K20" s="389"/>
      <c r="L20" s="390"/>
      <c r="M20" s="849"/>
      <c r="N20" s="390"/>
      <c r="O20" s="388"/>
      <c r="P20" s="628" cm="1">
        <f t="array" ref="P20">IF($K20=0,0,IFERROR(ROUNDUP(IF(ISNUMBER($K20),$K20,INDEX($D$1:$D20,$CD20)*INDEX(Premises!$A$13:$F$13,1,$CH20)/IF(OR($K20="T",$K20="D"),250,IF($K20="W",50,IF($K20="M",12,IF(OR($K20="HJ",$K20="HY"),2,IF(OR($K20="J",$K20="Y"),1,0)))))),0),0))</f>
        <v>0</v>
      </c>
      <c r="Q20" s="620" cm="1">
        <f t="array" ref="Q20">IF($K20=0,0,IFERROR(INDEX(Premises!$A$22:$F$22,1,$CH20)*100/INDEX(Premises!$A$16:$F$16,1,$CH20),0))</f>
        <v>0</v>
      </c>
      <c r="R20" s="617">
        <f t="shared" si="1"/>
        <v>0</v>
      </c>
      <c r="S20" s="391"/>
      <c r="T20" s="392"/>
      <c r="U20" s="620" cm="1">
        <f t="array" ref="U20">IF(COUNTBLANK($S20:$T20),0,
IF(AND(INDEX(MHR[Schichtmodell],$CI20)&lt;&gt;0,INDEX(MHR[Schichtmodell],$CI20)&lt;&gt;INDEX(Premises!$A$20:$F$20,1,$CH20)),ExchangeRate*
IF(OR($T20="M",$T20="U"),IF(INDEX(MHR[Schichtmodell],$CI20)=1,INDEX(LOC[M1S],INDEX(Premises!$A$18:$F$18,1,$CH20+1)),IF(INDEX(MHR[Schichtmodell],$CI20)=2,INDEX(LOC[M2S],INDEX(Premises!$A$18:$F$18,1,$CH20+1),IF(INDEX(MHR[Schichtmodell],$CI20)=3,INDEX(LOC[M3S],INDEX(Premises!$A$18:$F$18,1,$CH20+1)),0)))),
IF(INDEX(MHR[Schichtmodell],$CI20)=1,INDEX(LOC[F1S],INDEX(Premises!$A$18:$F$18,1,$CH20+1)),IF(INDEX(MHR[Schichtmodell],$CI20)=2,INDEX(LOC[F2S],INDEX(Premises!$A$18:$F$18,1,$CH20+1)),IF(INDEX(MHR[Schichtmodell],$CI20)=3,INDEX(LOC[F3S],INDEX(Premises!$A$18:$F$18,1,$CH20+1)),0)))),
IF(OR($T20="M",$T20="U"),INDEX(Premises!$A$21:$F$21,1,$CH20),
IF(OR($T20="F",$T20="S"),INDEX(Premises!$A$22:$F$22,1,$CH20),0)))*100/INDEX(Premises!$A$16:$F$16,1,$CH20))</f>
        <v>0</v>
      </c>
      <c r="V20" s="614">
        <f t="shared" si="2"/>
        <v>0</v>
      </c>
      <c r="W20" s="393"/>
      <c r="X20" s="386"/>
      <c r="Y20" s="394"/>
      <c r="Z20" s="395"/>
      <c r="AA20" s="611">
        <f t="shared" si="3"/>
        <v>0</v>
      </c>
      <c r="AB20" s="393"/>
      <c r="AC20" s="386"/>
      <c r="AD20" s="394"/>
      <c r="AE20" s="396"/>
      <c r="AF20" s="611">
        <f t="shared" si="4"/>
        <v>0</v>
      </c>
      <c r="AG20" s="612" cm="1">
        <f t="array" ref="AG20">IF(($J20+$V20+$AF20)=0,0,INDEX(Premises!$A$30:$F$30,1,$CH20)/100)</f>
        <v>0</v>
      </c>
      <c r="AH20" s="397"/>
      <c r="AI20" s="398"/>
      <c r="AJ20" s="399"/>
      <c r="AK20" s="613">
        <f t="shared" si="5"/>
        <v>0</v>
      </c>
      <c r="AL20" s="614">
        <f t="shared" si="6"/>
        <v>0</v>
      </c>
      <c r="AM20" s="615" cm="1">
        <f t="array" ref="AM20">IF($CI20=0,0,IFERROR(INDEX(MHR[],$CI20,MATCH($CA20,MHR!$B$4:$AY$4,0)+11),0))</f>
        <v>0</v>
      </c>
      <c r="AN20" s="616" cm="1">
        <f t="array" ref="AN20">IF(($J20+$V20)=0,0,IFERROR(IF(INDEX(Premises!$A$41:$F$41,1,$CH20)&lt;&gt;0,INDEX(Premises!$A$41:$F$41,1,$CH20)/100,(IFERROR(($J20/$I20)*$AM20,0)/($V20+$J20+$R20+$AL20))),0))</f>
        <v>0</v>
      </c>
      <c r="AO20" s="617">
        <f t="shared" si="7"/>
        <v>0</v>
      </c>
      <c r="AP20" s="618">
        <f t="shared" si="8"/>
        <v>0</v>
      </c>
      <c r="AQ20" s="393" t="str">
        <f>BOM!$A$7</f>
        <v>01-01-03 PCB UI Middle</v>
      </c>
      <c r="AR20" s="392">
        <f>VLOOKUP($AQ20,BOM,6,0)</f>
        <v>1</v>
      </c>
      <c r="AS20" s="619" cm="1">
        <f t="array" ref="AS20">IF($CJ20=0,0,IFERROR(INDEX(MAT[Einheit],$CJ20,1),0))</f>
        <v>0</v>
      </c>
      <c r="AT20" s="620" cm="1">
        <f t="array" ref="AT20">IF($CJ20=0,0,IFERROR(INDEX(MAT[Preis],$CJ20,1),0))</f>
        <v>0</v>
      </c>
      <c r="AU20" s="621">
        <f t="shared" si="9"/>
        <v>0</v>
      </c>
      <c r="AV20" s="622" cm="1">
        <f t="array" ref="AV20">IF($AU20&lt;=0,0,INDEX(Premises!$A$30:$F$30,1,$CH20)/100)</f>
        <v>0</v>
      </c>
      <c r="AW20" s="392"/>
      <c r="AX20" s="614">
        <f t="shared" si="10"/>
        <v>0</v>
      </c>
      <c r="AY20" s="623" cm="1">
        <f t="array" ref="AY20">IF($AT20&lt;=0,0,IFERROR(IF(INDEX(Premises!$A$42:$F$42,1,$CH20)&lt;&gt;0,INDEX(Premises!$A$42:$F$42,1,$CH20)/100,(INDEX(MAT[],$CJ20,MATCH($CA20,MAT!$B$4:$AE$4,0))/($AR20*$CK20*INDEX(Premises!$A$13:$F$13,1,$CH20))+INDEX(MAT[],$CJ20,MATCH($CA20,MAT!$B$4:$AE$4,0)+7))/$AT20),0))</f>
        <v>0</v>
      </c>
      <c r="AZ20" s="614">
        <f t="shared" si="11"/>
        <v>0</v>
      </c>
      <c r="BA20" s="618">
        <f t="shared" si="12"/>
        <v>0</v>
      </c>
      <c r="BB20" s="618">
        <f t="shared" si="13"/>
        <v>0</v>
      </c>
      <c r="BC20" s="622" cm="1">
        <f t="array" ref="BC20">IF($BB20&lt;=0,0,IF(BC$2=-1,0,INDEX(Premises!$A$32:$F$32,1,$CH20)/100))</f>
        <v>0</v>
      </c>
      <c r="BD20" s="614">
        <f t="shared" si="14"/>
        <v>0</v>
      </c>
      <c r="BE20" s="622" cm="1">
        <f t="array" ref="BE20">IF($BB20&lt;=0,0,IF(BE$2=-1,0,INDEX(Premises!$A$33:$F$33,1,$CH20)/100))</f>
        <v>0</v>
      </c>
      <c r="BF20" s="614">
        <f t="shared" si="15"/>
        <v>0</v>
      </c>
      <c r="BG20" s="622" cm="1">
        <f t="array" ref="BG20">IF($BB20&lt;=0,0,IF(BG$2=-1,0,INDEX(Premises!$A$31:$F$31,1,$CH20)/100))</f>
        <v>0</v>
      </c>
      <c r="BH20" s="614">
        <f t="shared" si="16"/>
        <v>0</v>
      </c>
      <c r="BI20" s="618">
        <f t="shared" si="17"/>
        <v>0</v>
      </c>
      <c r="BJ20" s="622" cm="1">
        <f t="array" ref="BJ20">IF($BB20&lt;=0,0,IF(BJ$2=-1,0,INDEX(Premises!$A$35:$F$35,1,$CH20)/100))</f>
        <v>0</v>
      </c>
      <c r="BK20" s="614">
        <f t="shared" si="18"/>
        <v>0</v>
      </c>
      <c r="BL20" s="622" cm="1">
        <f t="array" ref="BL20">IF($BB20&lt;=0,0,IF(BL$2=-1,0,INDEX(Premises!$A$36:$F$36,1,$CH20)/100))</f>
        <v>0</v>
      </c>
      <c r="BM20" s="614">
        <f t="shared" si="19"/>
        <v>0</v>
      </c>
      <c r="BN20" s="622" cm="1">
        <f t="array" ref="BN20">IF($BB20&lt;=0,0,IF(BN$2=-1,0,INDEX(Premises!$A$34:$F$34,1,$CH20)/100))</f>
        <v>0</v>
      </c>
      <c r="BO20" s="614">
        <f t="shared" si="20"/>
        <v>0</v>
      </c>
      <c r="BP20" s="622" cm="1">
        <f t="array" ref="BP20">IF($BI20=0,0,INDEX(Premises!$A$37:$F$37,1,$CH20)/100)</f>
        <v>0</v>
      </c>
      <c r="BQ20" s="392"/>
      <c r="BR20" s="614">
        <f t="shared" si="21"/>
        <v>0</v>
      </c>
      <c r="BS20" s="624">
        <f t="shared" si="22"/>
        <v>0</v>
      </c>
      <c r="BT20" s="624">
        <f t="shared" si="23"/>
        <v>0</v>
      </c>
      <c r="BU20" s="625">
        <f t="shared" si="24"/>
        <v>0</v>
      </c>
      <c r="BV20" s="400"/>
      <c r="BW20" s="401"/>
      <c r="BX20" s="401"/>
      <c r="BY20" s="402"/>
      <c r="BZ20" s="946"/>
      <c r="CA20" s="263" cm="1">
        <f t="array" ref="CA20">IF($BZ20&gt;0,VALUE(LEFT($BZ20,IF(ISERROR(FIND("-",$BZ20)),LEN($BZ20),FIND("-",$BZ20)-1))),INDEX($CA$1:$CA20,MAX(1,$CD20)))</f>
        <v>1</v>
      </c>
      <c r="CB20" s="263" cm="1">
        <f t="array" ref="CB20">IF($BT20=0,0,IF(LEN($BZ20)-LEN(SUBSTITUTE($BZ20,"-",""))&gt;1,
VALUE(MID($BZ20,FIND("-",$BZ20)+1,FIND("-",$BZ20,FIND("-",$BZ20)+1)-FIND("-",$BZ20)-1)),IF($BZ20&gt;0,0,INDEX($CB$1:$CB20,MAX(1,$CD20)))))</f>
        <v>0</v>
      </c>
      <c r="CC20" s="263" cm="1">
        <f t="array" ref="CC20">IF($BT20=0,0,IF(NOT(ISERROR(FIND("-",BZ20))),
VALUE(RIGHT($BZ20,LEN($BZ20)-IF(LEN($BZ20)-LEN(SUBSTITUTE($BZ20,"-",""))=1,FIND("-",$BZ20),FIND("-",$BZ20,FIND("-",$BZ20)+1)))),
IF($BZ20&gt;0,0,INDEX($CC$1:$CC20,MAX(1,$CD20)))))</f>
        <v>0</v>
      </c>
      <c r="CD20" s="376">
        <f>MATCH(0,$CE$1:$CE20,-1)</f>
        <v>17</v>
      </c>
      <c r="CE20" s="263"/>
      <c r="CF20" s="377"/>
      <c r="CG20" s="376" cm="1">
        <f t="array" ref="CG20">INDEX($CG$1:$CG20,$CD20)</f>
        <v>4</v>
      </c>
      <c r="CH20" s="263">
        <f>MATCH($CA20,Premises!$A$10:$F$10,0)</f>
        <v>4</v>
      </c>
      <c r="CI20" s="263">
        <f>IF(ISBLANK($E20),0,IFERROR(MATCH($E20,MHR[Bezeichnung],0),0))</f>
        <v>0</v>
      </c>
      <c r="CJ20" s="377">
        <f>IF(ISBLANK($AQ20),0,IFERROR(MATCH($AQ20,MAT[Bezeichnung],0),0))</f>
        <v>0</v>
      </c>
      <c r="CK20" s="263" cm="1">
        <f t="array" ref="CK20">INDEX($D$1:$D20,$CD20)</f>
        <v>1</v>
      </c>
      <c r="CL20" s="263"/>
      <c r="CM20" s="378"/>
      <c r="CN20" s="379" cm="1">
        <f t="array" ref="CN20">IF($CB20=0,0,IF($CB20=INDEX($CB$1:$CB20,$CD20),INDEX($CN$1:$CN20,$CD20),$CP20))</f>
        <v>0</v>
      </c>
      <c r="CO20" s="378"/>
      <c r="CP20" s="379" cm="1">
        <f t="array" ref="CP20">IF($CC20=0,0,INDEX($CP$1:$CP20,$CD20))</f>
        <v>0</v>
      </c>
      <c r="CQ20" s="380"/>
      <c r="CR20" s="381"/>
      <c r="CS20" s="381"/>
      <c r="CT20" s="948"/>
      <c r="CU20" s="2"/>
      <c r="CV20" s="630">
        <f t="shared" si="25"/>
        <v>0</v>
      </c>
      <c r="CW20" s="631">
        <f t="shared" si="26"/>
        <v>0</v>
      </c>
      <c r="CX20" s="631">
        <f t="shared" si="27"/>
        <v>0</v>
      </c>
      <c r="CY20" s="631">
        <f t="shared" si="28"/>
        <v>0</v>
      </c>
      <c r="CZ20" s="631">
        <f t="shared" si="29"/>
        <v>0</v>
      </c>
      <c r="DA20" s="631">
        <f t="shared" si="30"/>
        <v>0</v>
      </c>
      <c r="DB20" s="631">
        <f t="shared" si="31"/>
        <v>0</v>
      </c>
      <c r="DC20" s="632">
        <f t="shared" si="32"/>
        <v>0</v>
      </c>
      <c r="DD20" s="631">
        <f t="shared" si="33"/>
        <v>0</v>
      </c>
      <c r="DE20" s="631">
        <f t="shared" si="34"/>
        <v>0</v>
      </c>
      <c r="DF20" s="631">
        <f t="shared" si="35"/>
        <v>0</v>
      </c>
      <c r="DG20" s="632">
        <f t="shared" si="36"/>
        <v>0</v>
      </c>
      <c r="DH20" s="632">
        <f t="shared" si="37"/>
        <v>0</v>
      </c>
      <c r="DI20" s="631">
        <f t="shared" si="38"/>
        <v>0</v>
      </c>
      <c r="DJ20" s="631">
        <f t="shared" si="39"/>
        <v>0</v>
      </c>
      <c r="DK20" s="631">
        <f t="shared" si="40"/>
        <v>0</v>
      </c>
      <c r="DL20" s="631">
        <f t="shared" si="41"/>
        <v>0</v>
      </c>
      <c r="DM20" s="631">
        <f t="shared" si="42"/>
        <v>0</v>
      </c>
      <c r="DN20" s="631">
        <f t="shared" si="43"/>
        <v>0</v>
      </c>
      <c r="DO20" s="631">
        <f t="shared" si="44"/>
        <v>0</v>
      </c>
      <c r="DP20" s="634">
        <f t="shared" si="45"/>
        <v>0</v>
      </c>
      <c r="DQ20" s="929">
        <f>IF($CB20=0,0,$DP20*_xlfn.XLOOKUP($CB20,Premises!$A$10:$F$10,Premises!$A$30:$F$30)/100)</f>
        <v>0</v>
      </c>
      <c r="DR20" s="633">
        <f>IFERROR(SUM($DP20:$DQ20)*IF(INDEX(Premises!$A$42:$F$42,1,MATCH($CB20,Premises!$A$10:$F$10,0))&gt;0,INDEX(Premises!$A$42:$F$42,1,MATCH($CB20,Premises!$A$10:$F$10,0))%,$CN20),0)</f>
        <v>0</v>
      </c>
      <c r="DS20" s="633" cm="1">
        <f t="array" ref="DS20">IF($CB20=0,0,SUM($DP20:$DR20)*_xlfn.XLOOKUP($CB20,Premises!$A$10:$F$10,IF(INDEX(Settings[],MATCH(3001,Settings[ID],0),2)="B",Premises!$A$33:$F$33,Premises!$A$31:$F$31))/100)</f>
        <v>0</v>
      </c>
      <c r="DT20" s="633" cm="1">
        <f t="array" ref="DT20">IF($CB20=0,0,$DP20*_xlfn.XLOOKUP($CB20,Premises!$A$10:$F$10,IF(INDEX(Settings[],MATCH(3002,Settings[ID],0),2)="B",Premises!$A$36:$F$36,Premises!$A$34:$F$34))/100)</f>
        <v>0</v>
      </c>
      <c r="DU20" s="633">
        <f>IF($CB20=0,0,SUM($DP20:$DT20)*_xlfn.XLOOKUP($CB20,Premises!$A$10:$F$10,Premises!$A$37:$F$37)/100)</f>
        <v>0</v>
      </c>
      <c r="DV20" s="932">
        <f t="shared" si="46"/>
        <v>0</v>
      </c>
      <c r="DW20" s="929">
        <f>IF($CC20=0,0,$DV20*_xlfn.XLOOKUP($CC20,Premises!$A$10:$F$10,Premises!$A$30:$F$30)/100)</f>
        <v>0</v>
      </c>
      <c r="DX20" s="633">
        <f>IFERROR(SUM($DV20:$DW20)*IF(INDEX(Premises!$A$42:$F$42,1,MATCH($CC20,Premises!$A$10:$F$10,0))&gt;0,INDEX(Premises!$A$42:$F$42,1,MATCH($CC20,Premises!$A$10:$F$10,0))%,$CP20),0)</f>
        <v>0</v>
      </c>
      <c r="DY20" s="633" cm="1">
        <f t="array" ref="DY20">IF($CC20=0,0,SUM($DV20:$DX20)*_xlfn.XLOOKUP($CC20,Premises!$A$10:$F$10,IF(INDEX(Settings[],MATCH(3001,Settings[ID],0),2)="B",Premises!$A$33:$F$33,Premises!$A$31:$F$31))/100)</f>
        <v>0</v>
      </c>
      <c r="DZ20" s="633" cm="1">
        <f t="array" ref="DZ20">IF($CC20=0,0,$DV20*_xlfn.XLOOKUP($CC20,Premises!$A$10:$F$10,IF(INDEX(Settings[],MATCH(3002,Settings[ID],0),2)="B",Premises!$A$36:$F$36,Premises!$A$34:$F$34))/100)</f>
        <v>0</v>
      </c>
      <c r="EA20" s="633">
        <f>IF($CC20=0,0,SUM($DV20:$DZ20)*_xlfn.XLOOKUP($CC20,Premises!$A$10:$F$10,Premises!$A$37:$F$37)/100)</f>
        <v>0</v>
      </c>
      <c r="EB20" s="634">
        <f t="shared" si="47"/>
        <v>0</v>
      </c>
      <c r="EC20" s="783"/>
      <c r="ED20" s="1082"/>
      <c r="EE20" s="633"/>
      <c r="EF20" s="1088"/>
      <c r="EG20" s="1086"/>
      <c r="EH20" s="1086"/>
      <c r="EI20" s="1086"/>
      <c r="EJ20" s="1086"/>
      <c r="EK20" s="1086"/>
      <c r="EL20" s="1086"/>
      <c r="EM20" s="1088"/>
      <c r="EN20" s="1086"/>
      <c r="EO20" s="1086"/>
      <c r="EP20" s="1086"/>
      <c r="EQ20" s="1086"/>
      <c r="ER20" s="1088"/>
      <c r="ES20" s="1086"/>
      <c r="ET20" s="1086"/>
      <c r="EU20" s="1086"/>
      <c r="EV20" s="1086"/>
      <c r="EW20" s="1086"/>
      <c r="EX20" s="1089"/>
      <c r="EY20" s="2"/>
      <c r="EZ20" s="2"/>
      <c r="FA20" s="2"/>
      <c r="FB20" s="2"/>
      <c r="FC20" s="2"/>
      <c r="FD20" s="2"/>
      <c r="FE20" s="2"/>
      <c r="FF20" s="2"/>
      <c r="FG20" s="2"/>
      <c r="FH20" s="2"/>
      <c r="FI20" s="2"/>
      <c r="FJ20" s="403"/>
      <c r="FK20" s="404"/>
      <c r="FL20" s="405"/>
      <c r="FM20" s="948"/>
    </row>
    <row r="21" spans="1:169" s="13" customFormat="1" ht="12.75" customHeight="1">
      <c r="A21" s="215"/>
      <c r="B21" s="385"/>
      <c r="C21" s="386"/>
      <c r="D21" s="629"/>
      <c r="E21" s="387"/>
      <c r="F21" s="388"/>
      <c r="G21" s="388"/>
      <c r="H21" s="388"/>
      <c r="I21" s="620" cm="1">
        <f t="array" ref="I21">IF($CI21=0,0,IFERROR(INDEX(MHR[],$CI21,MATCH($CA21,MHR!$B$4:$AY$4,0)),0))</f>
        <v>0</v>
      </c>
      <c r="J21" s="617">
        <f t="shared" si="0"/>
        <v>0</v>
      </c>
      <c r="K21" s="389"/>
      <c r="L21" s="390"/>
      <c r="M21" s="849"/>
      <c r="N21" s="390"/>
      <c r="O21" s="388"/>
      <c r="P21" s="628" cm="1">
        <f t="array" ref="P21">IF($K21=0,0,IFERROR(ROUNDUP(IF(ISNUMBER($K21),$K21,INDEX($D$1:$D21,$CD21)*INDEX(Premises!$A$13:$F$13,1,$CH21)/IF(OR($K21="T",$K21="D"),250,IF($K21="W",50,IF($K21="M",12,IF(OR($K21="HJ",$K21="HY"),2,IF(OR($K21="J",$K21="Y"),1,0)))))),0),0))</f>
        <v>0</v>
      </c>
      <c r="Q21" s="620" cm="1">
        <f t="array" ref="Q21">IF($K21=0,0,IFERROR(INDEX(Premises!$A$22:$F$22,1,$CH21)*100/INDEX(Premises!$A$16:$F$16,1,$CH21),0))</f>
        <v>0</v>
      </c>
      <c r="R21" s="617">
        <f t="shared" si="1"/>
        <v>0</v>
      </c>
      <c r="S21" s="391"/>
      <c r="T21" s="392"/>
      <c r="U21" s="620" cm="1">
        <f t="array" ref="U21">IF(COUNTBLANK($S21:$T21),0,
IF(AND(INDEX(MHR[Schichtmodell],$CI21)&lt;&gt;0,INDEX(MHR[Schichtmodell],$CI21)&lt;&gt;INDEX(Premises!$A$20:$F$20,1,$CH21)),ExchangeRate*
IF(OR($T21="M",$T21="U"),IF(INDEX(MHR[Schichtmodell],$CI21)=1,INDEX(LOC[M1S],INDEX(Premises!$A$18:$F$18,1,$CH21+1)),IF(INDEX(MHR[Schichtmodell],$CI21)=2,INDEX(LOC[M2S],INDEX(Premises!$A$18:$F$18,1,$CH21+1),IF(INDEX(MHR[Schichtmodell],$CI21)=3,INDEX(LOC[M3S],INDEX(Premises!$A$18:$F$18,1,$CH21+1)),0)))),
IF(INDEX(MHR[Schichtmodell],$CI21)=1,INDEX(LOC[F1S],INDEX(Premises!$A$18:$F$18,1,$CH21+1)),IF(INDEX(MHR[Schichtmodell],$CI21)=2,INDEX(LOC[F2S],INDEX(Premises!$A$18:$F$18,1,$CH21+1)),IF(INDEX(MHR[Schichtmodell],$CI21)=3,INDEX(LOC[F3S],INDEX(Premises!$A$18:$F$18,1,$CH21+1)),0)))),
IF(OR($T21="M",$T21="U"),INDEX(Premises!$A$21:$F$21,1,$CH21),
IF(OR($T21="F",$T21="S"),INDEX(Premises!$A$22:$F$22,1,$CH21),0)))*100/INDEX(Premises!$A$16:$F$16,1,$CH21))</f>
        <v>0</v>
      </c>
      <c r="V21" s="614">
        <f t="shared" si="2"/>
        <v>0</v>
      </c>
      <c r="W21" s="393"/>
      <c r="X21" s="386"/>
      <c r="Y21" s="394"/>
      <c r="Z21" s="395"/>
      <c r="AA21" s="611">
        <f t="shared" si="3"/>
        <v>0</v>
      </c>
      <c r="AB21" s="393"/>
      <c r="AC21" s="386"/>
      <c r="AD21" s="394"/>
      <c r="AE21" s="396"/>
      <c r="AF21" s="611">
        <f t="shared" si="4"/>
        <v>0</v>
      </c>
      <c r="AG21" s="612" cm="1">
        <f t="array" ref="AG21">IF(($J21+$V21+$AF21)=0,0,INDEX(Premises!$A$30:$F$30,1,$CH21)/100)</f>
        <v>0</v>
      </c>
      <c r="AH21" s="397"/>
      <c r="AI21" s="398"/>
      <c r="AJ21" s="399"/>
      <c r="AK21" s="613">
        <f t="shared" si="5"/>
        <v>0</v>
      </c>
      <c r="AL21" s="614">
        <f t="shared" si="6"/>
        <v>0</v>
      </c>
      <c r="AM21" s="615" cm="1">
        <f t="array" ref="AM21">IF($CI21=0,0,IFERROR(INDEX(MHR[],$CI21,MATCH($CA21,MHR!$B$4:$AY$4,0)+11),0))</f>
        <v>0</v>
      </c>
      <c r="AN21" s="616" cm="1">
        <f t="array" ref="AN21">IF(($J21+$V21)=0,0,IFERROR(IF(INDEX(Premises!$A$41:$F$41,1,$CH21)&lt;&gt;0,INDEX(Premises!$A$41:$F$41,1,$CH21)/100,(IFERROR(($J21/$I21)*$AM21,0)/($V21+$J21+$R21+$AL21))),0))</f>
        <v>0</v>
      </c>
      <c r="AO21" s="617">
        <f t="shared" si="7"/>
        <v>0</v>
      </c>
      <c r="AP21" s="618">
        <f t="shared" si="8"/>
        <v>0</v>
      </c>
      <c r="AQ21" s="393" t="str">
        <f>BOM!$A$8</f>
        <v>01-01-04 PCB UI Upper</v>
      </c>
      <c r="AR21" s="392">
        <f>VLOOKUP($AQ21,BOM,6,0)</f>
        <v>1</v>
      </c>
      <c r="AS21" s="619" cm="1">
        <f t="array" ref="AS21">IF($CJ21=0,0,IFERROR(INDEX(MAT[Einheit],$CJ21,1),0))</f>
        <v>0</v>
      </c>
      <c r="AT21" s="620" cm="1">
        <f t="array" ref="AT21">IF($CJ21=0,0,IFERROR(INDEX(MAT[Preis],$CJ21,1),0))</f>
        <v>0</v>
      </c>
      <c r="AU21" s="621">
        <f t="shared" si="9"/>
        <v>0</v>
      </c>
      <c r="AV21" s="622" cm="1">
        <f t="array" ref="AV21">IF($AU21&lt;=0,0,INDEX(Premises!$A$30:$F$30,1,$CH21)/100)</f>
        <v>0</v>
      </c>
      <c r="AW21" s="392"/>
      <c r="AX21" s="614">
        <f t="shared" si="10"/>
        <v>0</v>
      </c>
      <c r="AY21" s="623" cm="1">
        <f t="array" ref="AY21">IF($AT21&lt;=0,0,IFERROR(IF(INDEX(Premises!$A$42:$F$42,1,$CH21)&lt;&gt;0,INDEX(Premises!$A$42:$F$42,1,$CH21)/100,(INDEX(MAT[],$CJ21,MATCH($CA21,MAT!$B$4:$AE$4,0))/($AR21*$CK21*INDEX(Premises!$A$13:$F$13,1,$CH21))+INDEX(MAT[],$CJ21,MATCH($CA21,MAT!$B$4:$AE$4,0)+7))/$AT21),0))</f>
        <v>0</v>
      </c>
      <c r="AZ21" s="614">
        <f t="shared" si="11"/>
        <v>0</v>
      </c>
      <c r="BA21" s="618">
        <f t="shared" si="12"/>
        <v>0</v>
      </c>
      <c r="BB21" s="618">
        <f t="shared" si="13"/>
        <v>0</v>
      </c>
      <c r="BC21" s="622" cm="1">
        <f t="array" ref="BC21">IF($BB21&lt;=0,0,IF(BC$2=-1,0,INDEX(Premises!$A$32:$F$32,1,$CH21)/100))</f>
        <v>0</v>
      </c>
      <c r="BD21" s="614">
        <f t="shared" si="14"/>
        <v>0</v>
      </c>
      <c r="BE21" s="622" cm="1">
        <f t="array" ref="BE21">IF($BB21&lt;=0,0,IF(BE$2=-1,0,INDEX(Premises!$A$33:$F$33,1,$CH21)/100))</f>
        <v>0</v>
      </c>
      <c r="BF21" s="614">
        <f t="shared" si="15"/>
        <v>0</v>
      </c>
      <c r="BG21" s="622" cm="1">
        <f t="array" ref="BG21">IF($BB21&lt;=0,0,IF(BG$2=-1,0,INDEX(Premises!$A$31:$F$31,1,$CH21)/100))</f>
        <v>0</v>
      </c>
      <c r="BH21" s="614">
        <f t="shared" si="16"/>
        <v>0</v>
      </c>
      <c r="BI21" s="618">
        <f t="shared" si="17"/>
        <v>0</v>
      </c>
      <c r="BJ21" s="622" cm="1">
        <f t="array" ref="BJ21">IF($BB21&lt;=0,0,IF(BJ$2=-1,0,INDEX(Premises!$A$35:$F$35,1,$CH21)/100))</f>
        <v>0</v>
      </c>
      <c r="BK21" s="614">
        <f t="shared" si="18"/>
        <v>0</v>
      </c>
      <c r="BL21" s="622" cm="1">
        <f t="array" ref="BL21">IF($BB21&lt;=0,0,IF(BL$2=-1,0,INDEX(Premises!$A$36:$F$36,1,$CH21)/100))</f>
        <v>0</v>
      </c>
      <c r="BM21" s="614">
        <f t="shared" si="19"/>
        <v>0</v>
      </c>
      <c r="BN21" s="622" cm="1">
        <f t="array" ref="BN21">IF($BB21&lt;=0,0,IF(BN$2=-1,0,INDEX(Premises!$A$34:$F$34,1,$CH21)/100))</f>
        <v>0</v>
      </c>
      <c r="BO21" s="614">
        <f t="shared" si="20"/>
        <v>0</v>
      </c>
      <c r="BP21" s="622" cm="1">
        <f t="array" ref="BP21">IF($BI21=0,0,INDEX(Premises!$A$37:$F$37,1,$CH21)/100)</f>
        <v>0</v>
      </c>
      <c r="BQ21" s="392"/>
      <c r="BR21" s="614">
        <f t="shared" si="21"/>
        <v>0</v>
      </c>
      <c r="BS21" s="624">
        <f t="shared" si="22"/>
        <v>0</v>
      </c>
      <c r="BT21" s="624">
        <f t="shared" si="23"/>
        <v>0</v>
      </c>
      <c r="BU21" s="625">
        <f t="shared" si="24"/>
        <v>0</v>
      </c>
      <c r="BV21" s="400"/>
      <c r="BW21" s="401"/>
      <c r="BX21" s="401"/>
      <c r="BY21" s="402"/>
      <c r="BZ21" s="946"/>
      <c r="CA21" s="263" cm="1">
        <f t="array" ref="CA21">IF($BZ21&gt;0,VALUE(LEFT($BZ21,IF(ISERROR(FIND("-",$BZ21)),LEN($BZ21),FIND("-",$BZ21)-1))),INDEX($CA$1:$CA21,MAX(1,$CD21)))</f>
        <v>1</v>
      </c>
      <c r="CB21" s="263" cm="1">
        <f t="array" ref="CB21">IF($BT21=0,0,IF(LEN($BZ21)-LEN(SUBSTITUTE($BZ21,"-",""))&gt;1,
VALUE(MID($BZ21,FIND("-",$BZ21)+1,FIND("-",$BZ21,FIND("-",$BZ21)+1)-FIND("-",$BZ21)-1)),IF($BZ21&gt;0,0,INDEX($CB$1:$CB21,MAX(1,$CD21)))))</f>
        <v>0</v>
      </c>
      <c r="CC21" s="263" cm="1">
        <f t="array" ref="CC21">IF($BT21=0,0,IF(NOT(ISERROR(FIND("-",BZ21))),
VALUE(RIGHT($BZ21,LEN($BZ21)-IF(LEN($BZ21)-LEN(SUBSTITUTE($BZ21,"-",""))=1,FIND("-",$BZ21),FIND("-",$BZ21,FIND("-",$BZ21)+1)))),
IF($BZ21&gt;0,0,INDEX($CC$1:$CC21,MAX(1,$CD21)))))</f>
        <v>0</v>
      </c>
      <c r="CD21" s="376">
        <f>MATCH(0,$CE$1:$CE21,-1)</f>
        <v>17</v>
      </c>
      <c r="CE21" s="263"/>
      <c r="CF21" s="377"/>
      <c r="CG21" s="376" cm="1">
        <f t="array" ref="CG21">INDEX($CG$1:$CG21,$CD21)</f>
        <v>4</v>
      </c>
      <c r="CH21" s="263">
        <f>MATCH($CA21,Premises!$A$10:$F$10,0)</f>
        <v>4</v>
      </c>
      <c r="CI21" s="263">
        <f>IF(ISBLANK($E21),0,IFERROR(MATCH($E21,MHR[Bezeichnung],0),0))</f>
        <v>0</v>
      </c>
      <c r="CJ21" s="377">
        <f>IF(ISBLANK($AQ21),0,IFERROR(MATCH($AQ21,MAT[Bezeichnung],0),0))</f>
        <v>0</v>
      </c>
      <c r="CK21" s="263" cm="1">
        <f t="array" ref="CK21">INDEX($D$1:$D21,$CD21)</f>
        <v>1</v>
      </c>
      <c r="CL21" s="263"/>
      <c r="CM21" s="378"/>
      <c r="CN21" s="379" cm="1">
        <f t="array" ref="CN21">IF($CB21=0,0,IF($CB21=INDEX($CB$1:$CB21,$CD21),INDEX($CN$1:$CN21,$CD21),$CP21))</f>
        <v>0</v>
      </c>
      <c r="CO21" s="378"/>
      <c r="CP21" s="379" cm="1">
        <f t="array" ref="CP21">IF($CC21=0,0,INDEX($CP$1:$CP21,$CD21))</f>
        <v>0</v>
      </c>
      <c r="CQ21" s="380"/>
      <c r="CR21" s="381"/>
      <c r="CS21" s="381"/>
      <c r="CT21" s="948"/>
      <c r="CU21" s="2"/>
      <c r="CV21" s="630">
        <f t="shared" si="25"/>
        <v>0</v>
      </c>
      <c r="CW21" s="631">
        <f t="shared" si="26"/>
        <v>0</v>
      </c>
      <c r="CX21" s="631">
        <f t="shared" si="27"/>
        <v>0</v>
      </c>
      <c r="CY21" s="631">
        <f t="shared" si="28"/>
        <v>0</v>
      </c>
      <c r="CZ21" s="631">
        <f t="shared" si="29"/>
        <v>0</v>
      </c>
      <c r="DA21" s="631">
        <f t="shared" si="30"/>
        <v>0</v>
      </c>
      <c r="DB21" s="631">
        <f t="shared" si="31"/>
        <v>0</v>
      </c>
      <c r="DC21" s="632">
        <f t="shared" si="32"/>
        <v>0</v>
      </c>
      <c r="DD21" s="631">
        <f t="shared" si="33"/>
        <v>0</v>
      </c>
      <c r="DE21" s="631">
        <f t="shared" si="34"/>
        <v>0</v>
      </c>
      <c r="DF21" s="631">
        <f t="shared" si="35"/>
        <v>0</v>
      </c>
      <c r="DG21" s="632">
        <f t="shared" si="36"/>
        <v>0</v>
      </c>
      <c r="DH21" s="632">
        <f t="shared" si="37"/>
        <v>0</v>
      </c>
      <c r="DI21" s="631">
        <f t="shared" si="38"/>
        <v>0</v>
      </c>
      <c r="DJ21" s="631">
        <f t="shared" si="39"/>
        <v>0</v>
      </c>
      <c r="DK21" s="631">
        <f t="shared" si="40"/>
        <v>0</v>
      </c>
      <c r="DL21" s="631">
        <f t="shared" si="41"/>
        <v>0</v>
      </c>
      <c r="DM21" s="631">
        <f t="shared" si="42"/>
        <v>0</v>
      </c>
      <c r="DN21" s="631">
        <f t="shared" si="43"/>
        <v>0</v>
      </c>
      <c r="DO21" s="631">
        <f t="shared" si="44"/>
        <v>0</v>
      </c>
      <c r="DP21" s="634">
        <f t="shared" si="45"/>
        <v>0</v>
      </c>
      <c r="DQ21" s="929">
        <f>IF($CB21=0,0,$DP21*_xlfn.XLOOKUP($CB21,Premises!$A$10:$F$10,Premises!$A$30:$F$30)/100)</f>
        <v>0</v>
      </c>
      <c r="DR21" s="633">
        <f>IFERROR(SUM($DP21:$DQ21)*IF(INDEX(Premises!$A$42:$F$42,1,MATCH($CB21,Premises!$A$10:$F$10,0))&gt;0,INDEX(Premises!$A$42:$F$42,1,MATCH($CB21,Premises!$A$10:$F$10,0))%,$CN21),0)</f>
        <v>0</v>
      </c>
      <c r="DS21" s="633" cm="1">
        <f t="array" ref="DS21">IF($CB21=0,0,SUM($DP21:$DR21)*_xlfn.XLOOKUP($CB21,Premises!$A$10:$F$10,IF(INDEX(Settings[],MATCH(3001,Settings[ID],0),2)="B",Premises!$A$33:$F$33,Premises!$A$31:$F$31))/100)</f>
        <v>0</v>
      </c>
      <c r="DT21" s="633" cm="1">
        <f t="array" ref="DT21">IF($CB21=0,0,$DP21*_xlfn.XLOOKUP($CB21,Premises!$A$10:$F$10,IF(INDEX(Settings[],MATCH(3002,Settings[ID],0),2)="B",Premises!$A$36:$F$36,Premises!$A$34:$F$34))/100)</f>
        <v>0</v>
      </c>
      <c r="DU21" s="633">
        <f>IF($CB21=0,0,SUM($DP21:$DT21)*_xlfn.XLOOKUP($CB21,Premises!$A$10:$F$10,Premises!$A$37:$F$37)/100)</f>
        <v>0</v>
      </c>
      <c r="DV21" s="932">
        <f t="shared" si="46"/>
        <v>0</v>
      </c>
      <c r="DW21" s="929">
        <f>IF($CC21=0,0,$DV21*_xlfn.XLOOKUP($CC21,Premises!$A$10:$F$10,Premises!$A$30:$F$30)/100)</f>
        <v>0</v>
      </c>
      <c r="DX21" s="633">
        <f>IFERROR(SUM($DV21:$DW21)*IF(INDEX(Premises!$A$42:$F$42,1,MATCH($CC21,Premises!$A$10:$F$10,0))&gt;0,INDEX(Premises!$A$42:$F$42,1,MATCH($CC21,Premises!$A$10:$F$10,0))%,$CP21),0)</f>
        <v>0</v>
      </c>
      <c r="DY21" s="633" cm="1">
        <f t="array" ref="DY21">IF($CC21=0,0,SUM($DV21:$DX21)*_xlfn.XLOOKUP($CC21,Premises!$A$10:$F$10,IF(INDEX(Settings[],MATCH(3001,Settings[ID],0),2)="B",Premises!$A$33:$F$33,Premises!$A$31:$F$31))/100)</f>
        <v>0</v>
      </c>
      <c r="DZ21" s="633" cm="1">
        <f t="array" ref="DZ21">IF($CC21=0,0,$DV21*_xlfn.XLOOKUP($CC21,Premises!$A$10:$F$10,IF(INDEX(Settings[],MATCH(3002,Settings[ID],0),2)="B",Premises!$A$36:$F$36,Premises!$A$34:$F$34))/100)</f>
        <v>0</v>
      </c>
      <c r="EA21" s="633">
        <f>IF($CC21=0,0,SUM($DV21:$DZ21)*_xlfn.XLOOKUP($CC21,Premises!$A$10:$F$10,Premises!$A$37:$F$37)/100)</f>
        <v>0</v>
      </c>
      <c r="EB21" s="634">
        <f t="shared" si="47"/>
        <v>0</v>
      </c>
      <c r="EC21" s="783"/>
      <c r="ED21" s="1082"/>
      <c r="EE21" s="633"/>
      <c r="EF21" s="1088"/>
      <c r="EG21" s="1086"/>
      <c r="EH21" s="1086"/>
      <c r="EI21" s="1086"/>
      <c r="EJ21" s="1086"/>
      <c r="EK21" s="1086"/>
      <c r="EL21" s="1086"/>
      <c r="EM21" s="1088"/>
      <c r="EN21" s="1086"/>
      <c r="EO21" s="1086"/>
      <c r="EP21" s="1086"/>
      <c r="EQ21" s="1086"/>
      <c r="ER21" s="1088"/>
      <c r="ES21" s="1086"/>
      <c r="ET21" s="1086"/>
      <c r="EU21" s="1086"/>
      <c r="EV21" s="1086"/>
      <c r="EW21" s="1086"/>
      <c r="EX21" s="1089"/>
      <c r="EY21" s="2"/>
      <c r="EZ21" s="2"/>
      <c r="FA21" s="2"/>
      <c r="FB21" s="2"/>
      <c r="FC21" s="2"/>
      <c r="FD21" s="2"/>
      <c r="FE21" s="2"/>
      <c r="FF21" s="2"/>
      <c r="FG21" s="2"/>
      <c r="FH21" s="2"/>
      <c r="FI21" s="2"/>
      <c r="FJ21" s="403"/>
      <c r="FK21" s="404"/>
      <c r="FL21" s="405"/>
      <c r="FM21" s="948"/>
    </row>
    <row r="22" spans="1:169" s="13" customFormat="1" ht="12.75" customHeight="1">
      <c r="A22" s="215"/>
      <c r="B22" s="385"/>
      <c r="C22" s="386"/>
      <c r="D22" s="629"/>
      <c r="E22" s="387"/>
      <c r="F22" s="388"/>
      <c r="G22" s="388"/>
      <c r="H22" s="388"/>
      <c r="I22" s="620" cm="1">
        <f t="array" ref="I22">IF($CI22=0,0,IFERROR(INDEX(MHR[],$CI22,MATCH($CA22,MHR!$B$4:$AY$4,0)),0))</f>
        <v>0</v>
      </c>
      <c r="J22" s="617">
        <f t="shared" si="0"/>
        <v>0</v>
      </c>
      <c r="K22" s="389"/>
      <c r="L22" s="390"/>
      <c r="M22" s="849"/>
      <c r="N22" s="390"/>
      <c r="O22" s="388"/>
      <c r="P22" s="628" cm="1">
        <f t="array" ref="P22">IF($K22=0,0,IFERROR(ROUNDUP(IF(ISNUMBER($K22),$K22,INDEX($D$1:$D22,$CD22)*INDEX(Premises!$A$13:$F$13,1,$CH22)/IF(OR($K22="T",$K22="D"),250,IF($K22="W",50,IF($K22="M",12,IF(OR($K22="HJ",$K22="HY"),2,IF(OR($K22="J",$K22="Y"),1,0)))))),0),0))</f>
        <v>0</v>
      </c>
      <c r="Q22" s="620" cm="1">
        <f t="array" ref="Q22">IF($K22=0,0,IFERROR(INDEX(Premises!$A$22:$F$22,1,$CH22)*100/INDEX(Premises!$A$16:$F$16,1,$CH22),0))</f>
        <v>0</v>
      </c>
      <c r="R22" s="617">
        <f t="shared" si="1"/>
        <v>0</v>
      </c>
      <c r="S22" s="391"/>
      <c r="T22" s="392"/>
      <c r="U22" s="620" cm="1">
        <f t="array" ref="U22">IF(COUNTBLANK($S22:$T22),0,
IF(AND(INDEX(MHR[Schichtmodell],$CI22)&lt;&gt;0,INDEX(MHR[Schichtmodell],$CI22)&lt;&gt;INDEX(Premises!$A$20:$F$20,1,$CH22)),ExchangeRate*
IF(OR($T22="M",$T22="U"),IF(INDEX(MHR[Schichtmodell],$CI22)=1,INDEX(LOC[M1S],INDEX(Premises!$A$18:$F$18,1,$CH22+1)),IF(INDEX(MHR[Schichtmodell],$CI22)=2,INDEX(LOC[M2S],INDEX(Premises!$A$18:$F$18,1,$CH22+1),IF(INDEX(MHR[Schichtmodell],$CI22)=3,INDEX(LOC[M3S],INDEX(Premises!$A$18:$F$18,1,$CH22+1)),0)))),
IF(INDEX(MHR[Schichtmodell],$CI22)=1,INDEX(LOC[F1S],INDEX(Premises!$A$18:$F$18,1,$CH22+1)),IF(INDEX(MHR[Schichtmodell],$CI22)=2,INDEX(LOC[F2S],INDEX(Premises!$A$18:$F$18,1,$CH22+1)),IF(INDEX(MHR[Schichtmodell],$CI22)=3,INDEX(LOC[F3S],INDEX(Premises!$A$18:$F$18,1,$CH22+1)),0)))),
IF(OR($T22="M",$T22="U"),INDEX(Premises!$A$21:$F$21,1,$CH22),
IF(OR($T22="F",$T22="S"),INDEX(Premises!$A$22:$F$22,1,$CH22),0)))*100/INDEX(Premises!$A$16:$F$16,1,$CH22))</f>
        <v>0</v>
      </c>
      <c r="V22" s="614">
        <f t="shared" si="2"/>
        <v>0</v>
      </c>
      <c r="W22" s="393"/>
      <c r="X22" s="386"/>
      <c r="Y22" s="394"/>
      <c r="Z22" s="395"/>
      <c r="AA22" s="611">
        <f t="shared" si="3"/>
        <v>0</v>
      </c>
      <c r="AB22" s="393"/>
      <c r="AC22" s="386"/>
      <c r="AD22" s="394"/>
      <c r="AE22" s="396"/>
      <c r="AF22" s="611">
        <f t="shared" si="4"/>
        <v>0</v>
      </c>
      <c r="AG22" s="612" cm="1">
        <f t="array" ref="AG22">IF(($J22+$V22+$AF22)=0,0,INDEX(Premises!$A$30:$F$30,1,$CH22)/100)</f>
        <v>0</v>
      </c>
      <c r="AH22" s="397"/>
      <c r="AI22" s="398"/>
      <c r="AJ22" s="399"/>
      <c r="AK22" s="613">
        <f t="shared" si="5"/>
        <v>0</v>
      </c>
      <c r="AL22" s="614">
        <f t="shared" si="6"/>
        <v>0</v>
      </c>
      <c r="AM22" s="615" cm="1">
        <f t="array" ref="AM22">IF($CI22=0,0,IFERROR(INDEX(MHR[],$CI22,MATCH($CA22,MHR!$B$4:$AY$4,0)+11),0))</f>
        <v>0</v>
      </c>
      <c r="AN22" s="616" cm="1">
        <f t="array" ref="AN22">IF(($J22+$V22)=0,0,IFERROR(IF(INDEX(Premises!$A$41:$F$41,1,$CH22)&lt;&gt;0,INDEX(Premises!$A$41:$F$41,1,$CH22)/100,(IFERROR(($J22/$I22)*$AM22,0)/($V22+$J22+$R22+$AL22))),0))</f>
        <v>0</v>
      </c>
      <c r="AO22" s="617">
        <f t="shared" si="7"/>
        <v>0</v>
      </c>
      <c r="AP22" s="618">
        <f t="shared" si="8"/>
        <v>0</v>
      </c>
      <c r="AQ22" s="393"/>
      <c r="AR22" s="392"/>
      <c r="AS22" s="619" cm="1">
        <f t="array" ref="AS22">IF($CJ22=0,0,IFERROR(INDEX(MAT[Einheit],$CJ22,1),0))</f>
        <v>0</v>
      </c>
      <c r="AT22" s="620" cm="1">
        <f t="array" ref="AT22">IF($CJ22=0,0,IFERROR(INDEX(MAT[Preis],$CJ22,1),0))</f>
        <v>0</v>
      </c>
      <c r="AU22" s="621">
        <f t="shared" si="9"/>
        <v>0</v>
      </c>
      <c r="AV22" s="622" cm="1">
        <f t="array" ref="AV22">IF($AU22&lt;=0,0,INDEX(Premises!$A$30:$F$30,1,$CH22)/100)</f>
        <v>0</v>
      </c>
      <c r="AW22" s="392"/>
      <c r="AX22" s="614">
        <f t="shared" si="10"/>
        <v>0</v>
      </c>
      <c r="AY22" s="623" cm="1">
        <f t="array" ref="AY22">IF($AT22&lt;=0,0,IFERROR(IF(INDEX(Premises!$A$42:$F$42,1,$CH22)&lt;&gt;0,INDEX(Premises!$A$42:$F$42,1,$CH22)/100,(INDEX(MAT[],$CJ22,MATCH($CA22,MAT!$B$4:$AE$4,0))/($AR22*$CK22*INDEX(Premises!$A$13:$F$13,1,$CH22))+INDEX(MAT[],$CJ22,MATCH($CA22,MAT!$B$4:$AE$4,0)+7))/$AT22),0))</f>
        <v>0</v>
      </c>
      <c r="AZ22" s="614">
        <f t="shared" si="11"/>
        <v>0</v>
      </c>
      <c r="BA22" s="618">
        <f t="shared" si="12"/>
        <v>0</v>
      </c>
      <c r="BB22" s="618">
        <f t="shared" si="13"/>
        <v>0</v>
      </c>
      <c r="BC22" s="622" cm="1">
        <f t="array" ref="BC22">IF($BB22&lt;=0,0,IF(BC$2=-1,0,INDEX(Premises!$A$32:$F$32,1,$CH22)/100))</f>
        <v>0</v>
      </c>
      <c r="BD22" s="614">
        <f t="shared" si="14"/>
        <v>0</v>
      </c>
      <c r="BE22" s="622" cm="1">
        <f t="array" ref="BE22">IF($BB22&lt;=0,0,IF(BE$2=-1,0,INDEX(Premises!$A$33:$F$33,1,$CH22)/100))</f>
        <v>0</v>
      </c>
      <c r="BF22" s="614">
        <f t="shared" si="15"/>
        <v>0</v>
      </c>
      <c r="BG22" s="622" cm="1">
        <f t="array" ref="BG22">IF($BB22&lt;=0,0,IF(BG$2=-1,0,INDEX(Premises!$A$31:$F$31,1,$CH22)/100))</f>
        <v>0</v>
      </c>
      <c r="BH22" s="614">
        <f t="shared" si="16"/>
        <v>0</v>
      </c>
      <c r="BI22" s="618">
        <f t="shared" si="17"/>
        <v>0</v>
      </c>
      <c r="BJ22" s="622" cm="1">
        <f t="array" ref="BJ22">IF($BB22&lt;=0,0,IF(BJ$2=-1,0,INDEX(Premises!$A$35:$F$35,1,$CH22)/100))</f>
        <v>0</v>
      </c>
      <c r="BK22" s="614">
        <f t="shared" si="18"/>
        <v>0</v>
      </c>
      <c r="BL22" s="622" cm="1">
        <f t="array" ref="BL22">IF($BB22&lt;=0,0,IF(BL$2=-1,0,INDEX(Premises!$A$36:$F$36,1,$CH22)/100))</f>
        <v>0</v>
      </c>
      <c r="BM22" s="614">
        <f t="shared" si="19"/>
        <v>0</v>
      </c>
      <c r="BN22" s="622" cm="1">
        <f t="array" ref="BN22">IF($BB22&lt;=0,0,IF(BN$2=-1,0,INDEX(Premises!$A$34:$F$34,1,$CH22)/100))</f>
        <v>0</v>
      </c>
      <c r="BO22" s="614">
        <f t="shared" si="20"/>
        <v>0</v>
      </c>
      <c r="BP22" s="622" cm="1">
        <f t="array" ref="BP22">IF($BI22=0,0,INDEX(Premises!$A$37:$F$37,1,$CH22)/100)</f>
        <v>0</v>
      </c>
      <c r="BQ22" s="392"/>
      <c r="BR22" s="614">
        <f t="shared" si="21"/>
        <v>0</v>
      </c>
      <c r="BS22" s="624">
        <f t="shared" si="22"/>
        <v>0</v>
      </c>
      <c r="BT22" s="624">
        <f t="shared" si="23"/>
        <v>0</v>
      </c>
      <c r="BU22" s="625">
        <f t="shared" si="24"/>
        <v>0</v>
      </c>
      <c r="BV22" s="400"/>
      <c r="BW22" s="401"/>
      <c r="BX22" s="401"/>
      <c r="BY22" s="402"/>
      <c r="BZ22" s="946"/>
      <c r="CA22" s="263" cm="1">
        <f t="array" ref="CA22">IF($BZ22&gt;0,VALUE(LEFT($BZ22,IF(ISERROR(FIND("-",$BZ22)),LEN($BZ22),FIND("-",$BZ22)-1))),INDEX($CA$1:$CA22,MAX(1,$CD22)))</f>
        <v>1</v>
      </c>
      <c r="CB22" s="263" cm="1">
        <f t="array" ref="CB22">IF($BT22=0,0,IF(LEN($BZ22)-LEN(SUBSTITUTE($BZ22,"-",""))&gt;1,
VALUE(MID($BZ22,FIND("-",$BZ22)+1,FIND("-",$BZ22,FIND("-",$BZ22)+1)-FIND("-",$BZ22)-1)),IF($BZ22&gt;0,0,INDEX($CB$1:$CB22,MAX(1,$CD22)))))</f>
        <v>0</v>
      </c>
      <c r="CC22" s="263" cm="1">
        <f t="array" ref="CC22">IF($BT22=0,0,IF(NOT(ISERROR(FIND("-",BZ22))),
VALUE(RIGHT($BZ22,LEN($BZ22)-IF(LEN($BZ22)-LEN(SUBSTITUTE($BZ22,"-",""))=1,FIND("-",$BZ22),FIND("-",$BZ22,FIND("-",$BZ22)+1)))),
IF($BZ22&gt;0,0,INDEX($CC$1:$CC22,MAX(1,$CD22)))))</f>
        <v>0</v>
      </c>
      <c r="CD22" s="376">
        <f>MATCH(0,$CE$1:$CE22,-1)</f>
        <v>17</v>
      </c>
      <c r="CE22" s="263"/>
      <c r="CF22" s="377"/>
      <c r="CG22" s="376" cm="1">
        <f t="array" ref="CG22">INDEX($CG$1:$CG22,$CD22)</f>
        <v>4</v>
      </c>
      <c r="CH22" s="263">
        <f>MATCH($CA22,Premises!$A$10:$F$10,0)</f>
        <v>4</v>
      </c>
      <c r="CI22" s="263">
        <f>IF(ISBLANK($E22),0,IFERROR(MATCH($E22,MHR[Bezeichnung],0),0))</f>
        <v>0</v>
      </c>
      <c r="CJ22" s="377">
        <f>IF(ISBLANK($AQ22),0,IFERROR(MATCH($AQ22,MAT[Bezeichnung],0),0))</f>
        <v>0</v>
      </c>
      <c r="CK22" s="263" cm="1">
        <f t="array" ref="CK22">INDEX($D$1:$D22,$CD22)</f>
        <v>1</v>
      </c>
      <c r="CL22" s="263"/>
      <c r="CM22" s="378"/>
      <c r="CN22" s="379" cm="1">
        <f t="array" ref="CN22">IF($CB22=0,0,IF($CB22=INDEX($CB$1:$CB22,$CD22),INDEX($CN$1:$CN22,$CD22),$CP22))</f>
        <v>0</v>
      </c>
      <c r="CO22" s="378"/>
      <c r="CP22" s="379" cm="1">
        <f t="array" ref="CP22">IF($CC22=0,0,INDEX($CP$1:$CP22,$CD22))</f>
        <v>0</v>
      </c>
      <c r="CQ22" s="380"/>
      <c r="CR22" s="381"/>
      <c r="CS22" s="381"/>
      <c r="CT22" s="948"/>
      <c r="CU22" s="2"/>
      <c r="CV22" s="630">
        <f t="shared" si="25"/>
        <v>0</v>
      </c>
      <c r="CW22" s="631">
        <f t="shared" si="26"/>
        <v>0</v>
      </c>
      <c r="CX22" s="631">
        <f t="shared" si="27"/>
        <v>0</v>
      </c>
      <c r="CY22" s="631">
        <f t="shared" si="28"/>
        <v>0</v>
      </c>
      <c r="CZ22" s="631">
        <f t="shared" si="29"/>
        <v>0</v>
      </c>
      <c r="DA22" s="631">
        <f t="shared" si="30"/>
        <v>0</v>
      </c>
      <c r="DB22" s="631">
        <f t="shared" si="31"/>
        <v>0</v>
      </c>
      <c r="DC22" s="632">
        <f t="shared" si="32"/>
        <v>0</v>
      </c>
      <c r="DD22" s="631">
        <f t="shared" si="33"/>
        <v>0</v>
      </c>
      <c r="DE22" s="631">
        <f t="shared" si="34"/>
        <v>0</v>
      </c>
      <c r="DF22" s="631">
        <f t="shared" si="35"/>
        <v>0</v>
      </c>
      <c r="DG22" s="632">
        <f t="shared" si="36"/>
        <v>0</v>
      </c>
      <c r="DH22" s="632">
        <f t="shared" si="37"/>
        <v>0</v>
      </c>
      <c r="DI22" s="631">
        <f t="shared" si="38"/>
        <v>0</v>
      </c>
      <c r="DJ22" s="631">
        <f t="shared" si="39"/>
        <v>0</v>
      </c>
      <c r="DK22" s="631">
        <f t="shared" si="40"/>
        <v>0</v>
      </c>
      <c r="DL22" s="631">
        <f t="shared" si="41"/>
        <v>0</v>
      </c>
      <c r="DM22" s="631">
        <f t="shared" si="42"/>
        <v>0</v>
      </c>
      <c r="DN22" s="631">
        <f t="shared" si="43"/>
        <v>0</v>
      </c>
      <c r="DO22" s="631">
        <f t="shared" si="44"/>
        <v>0</v>
      </c>
      <c r="DP22" s="634">
        <f t="shared" si="45"/>
        <v>0</v>
      </c>
      <c r="DQ22" s="929">
        <f>IF($CB22=0,0,$DP22*_xlfn.XLOOKUP($CB22,Premises!$A$10:$F$10,Premises!$A$30:$F$30)/100)</f>
        <v>0</v>
      </c>
      <c r="DR22" s="633">
        <f>IFERROR(SUM($DP22:$DQ22)*IF(INDEX(Premises!$A$42:$F$42,1,MATCH($CB22,Premises!$A$10:$F$10,0))&gt;0,INDEX(Premises!$A$42:$F$42,1,MATCH($CB22,Premises!$A$10:$F$10,0))%,$CN22),0)</f>
        <v>0</v>
      </c>
      <c r="DS22" s="633" cm="1">
        <f t="array" ref="DS22">IF($CB22=0,0,SUM($DP22:$DR22)*_xlfn.XLOOKUP($CB22,Premises!$A$10:$F$10,IF(INDEX(Settings[],MATCH(3001,Settings[ID],0),2)="B",Premises!$A$33:$F$33,Premises!$A$31:$F$31))/100)</f>
        <v>0</v>
      </c>
      <c r="DT22" s="633" cm="1">
        <f t="array" ref="DT22">IF($CB22=0,0,$DP22*_xlfn.XLOOKUP($CB22,Premises!$A$10:$F$10,IF(INDEX(Settings[],MATCH(3002,Settings[ID],0),2)="B",Premises!$A$36:$F$36,Premises!$A$34:$F$34))/100)</f>
        <v>0</v>
      </c>
      <c r="DU22" s="633">
        <f>IF($CB22=0,0,SUM($DP22:$DT22)*_xlfn.XLOOKUP($CB22,Premises!$A$10:$F$10,Premises!$A$37:$F$37)/100)</f>
        <v>0</v>
      </c>
      <c r="DV22" s="932">
        <f t="shared" si="46"/>
        <v>0</v>
      </c>
      <c r="DW22" s="929">
        <f>IF($CC22=0,0,$DV22*_xlfn.XLOOKUP($CC22,Premises!$A$10:$F$10,Premises!$A$30:$F$30)/100)</f>
        <v>0</v>
      </c>
      <c r="DX22" s="633">
        <f>IFERROR(SUM($DV22:$DW22)*IF(INDEX(Premises!$A$42:$F$42,1,MATCH($CC22,Premises!$A$10:$F$10,0))&gt;0,INDEX(Premises!$A$42:$F$42,1,MATCH($CC22,Premises!$A$10:$F$10,0))%,$CP22),0)</f>
        <v>0</v>
      </c>
      <c r="DY22" s="633" cm="1">
        <f t="array" ref="DY22">IF($CC22=0,0,SUM($DV22:$DX22)*_xlfn.XLOOKUP($CC22,Premises!$A$10:$F$10,IF(INDEX(Settings[],MATCH(3001,Settings[ID],0),2)="B",Premises!$A$33:$F$33,Premises!$A$31:$F$31))/100)</f>
        <v>0</v>
      </c>
      <c r="DZ22" s="633" cm="1">
        <f t="array" ref="DZ22">IF($CC22=0,0,$DV22*_xlfn.XLOOKUP($CC22,Premises!$A$10:$F$10,IF(INDEX(Settings[],MATCH(3002,Settings[ID],0),2)="B",Premises!$A$36:$F$36,Premises!$A$34:$F$34))/100)</f>
        <v>0</v>
      </c>
      <c r="EA22" s="633">
        <f>IF($CC22=0,0,SUM($DV22:$DZ22)*_xlfn.XLOOKUP($CC22,Premises!$A$10:$F$10,Premises!$A$37:$F$37)/100)</f>
        <v>0</v>
      </c>
      <c r="EB22" s="634">
        <f t="shared" si="47"/>
        <v>0</v>
      </c>
      <c r="EC22" s="783"/>
      <c r="ED22" s="1082"/>
      <c r="EE22" s="633"/>
      <c r="EF22" s="1088"/>
      <c r="EG22" s="1086"/>
      <c r="EH22" s="1086"/>
      <c r="EI22" s="1086"/>
      <c r="EJ22" s="1086"/>
      <c r="EK22" s="1086"/>
      <c r="EL22" s="1086"/>
      <c r="EM22" s="1088"/>
      <c r="EN22" s="1086"/>
      <c r="EO22" s="1086"/>
      <c r="EP22" s="1086"/>
      <c r="EQ22" s="1086"/>
      <c r="ER22" s="1088"/>
      <c r="ES22" s="1086"/>
      <c r="ET22" s="1086"/>
      <c r="EU22" s="1086"/>
      <c r="EV22" s="1086"/>
      <c r="EW22" s="1086"/>
      <c r="EX22" s="1089"/>
      <c r="EY22" s="2"/>
      <c r="EZ22" s="2"/>
      <c r="FA22" s="2"/>
      <c r="FB22" s="2"/>
      <c r="FC22" s="2"/>
      <c r="FD22" s="2"/>
      <c r="FE22" s="2"/>
      <c r="FF22" s="2"/>
      <c r="FG22" s="2"/>
      <c r="FH22" s="2"/>
      <c r="FI22" s="2"/>
      <c r="FJ22" s="403"/>
      <c r="FK22" s="404"/>
      <c r="FL22" s="405"/>
      <c r="FM22" s="948"/>
    </row>
    <row r="23" spans="1:169" s="13" customFormat="1" ht="12.75" customHeight="1">
      <c r="A23" s="215"/>
      <c r="B23" s="385" t="s">
        <v>207</v>
      </c>
      <c r="C23" s="386"/>
      <c r="D23" s="629"/>
      <c r="E23" s="387" t="s">
        <v>4159</v>
      </c>
      <c r="F23" s="388">
        <f>4*5</f>
        <v>20</v>
      </c>
      <c r="G23" s="388" t="s">
        <v>93</v>
      </c>
      <c r="H23" s="388">
        <v>1</v>
      </c>
      <c r="I23" s="620" cm="1">
        <f t="array" ref="I23">IF($CI23=0,0,IFERROR(INDEX(MHR[],$CI23,MATCH($CA23,MHR!$B$4:$AY$4,0)),0))</f>
        <v>0.38351808289286055</v>
      </c>
      <c r="J23" s="617">
        <f t="shared" si="0"/>
        <v>2.1306560160714474E-3</v>
      </c>
      <c r="K23" s="389"/>
      <c r="L23" s="390"/>
      <c r="M23" s="849"/>
      <c r="N23" s="390"/>
      <c r="O23" s="388"/>
      <c r="P23" s="628" cm="1">
        <f t="array" ref="P23">IF($K23=0,0,IFERROR(ROUNDUP(IF(ISNUMBER($K23),$K23,INDEX($D$1:$D23,$CD23)*INDEX(Premises!$A$13:$F$13,1,$CH23)/IF(OR($K23="T",$K23="D"),250,IF($K23="W",50,IF($K23="M",12,IF(OR($K23="HJ",$K23="HY"),2,IF(OR($K23="J",$K23="Y"),1,0)))))),0),0))</f>
        <v>0</v>
      </c>
      <c r="Q23" s="620" cm="1">
        <f t="array" ref="Q23">IF($K23=0,0,IFERROR(INDEX(Premises!$A$22:$F$22,1,$CH23)*100/INDEX(Premises!$A$16:$F$16,1,$CH23),0))</f>
        <v>0</v>
      </c>
      <c r="R23" s="617">
        <f t="shared" si="1"/>
        <v>0</v>
      </c>
      <c r="S23" s="391">
        <v>1</v>
      </c>
      <c r="T23" s="392" t="s">
        <v>275</v>
      </c>
      <c r="U23" s="620" cm="1">
        <f t="array" ref="U23">IF(COUNTBLANK($S23:$T23),0,
IF(AND(INDEX(MHR[Schichtmodell],$CI23)&lt;&gt;0,INDEX(MHR[Schichtmodell],$CI23)&lt;&gt;INDEX(Premises!$A$20:$F$20,1,$CH23)),ExchangeRate*
IF(OR($T23="M",$T23="U"),IF(INDEX(MHR[Schichtmodell],$CI23)=1,INDEX(LOC[M1S],INDEX(Premises!$A$18:$F$18,1,$CH23+1)),IF(INDEX(MHR[Schichtmodell],$CI23)=2,INDEX(LOC[M2S],INDEX(Premises!$A$18:$F$18,1,$CH23+1),IF(INDEX(MHR[Schichtmodell],$CI23)=3,INDEX(LOC[M3S],INDEX(Premises!$A$18:$F$18,1,$CH23+1)),0)))),
IF(INDEX(MHR[Schichtmodell],$CI23)=1,INDEX(LOC[F1S],INDEX(Premises!$A$18:$F$18,1,$CH23+1)),IF(INDEX(MHR[Schichtmodell],$CI23)=2,INDEX(LOC[F2S],INDEX(Premises!$A$18:$F$18,1,$CH23+1)),IF(INDEX(MHR[Schichtmodell],$CI23)=3,INDEX(LOC[F3S],INDEX(Premises!$A$18:$F$18,1,$CH23+1)),0)))),
IF(OR($T23="M",$T23="U"),INDEX(Premises!$A$21:$F$21,1,$CH23),
IF(OR($T23="F",$T23="S"),INDEX(Premises!$A$22:$F$22,1,$CH23),0)))*100/INDEX(Premises!$A$16:$F$16,1,$CH23))</f>
        <v>11.762499999999999</v>
      </c>
      <c r="V23" s="614">
        <f t="shared" si="2"/>
        <v>6.5347222222222223E-2</v>
      </c>
      <c r="W23" s="393"/>
      <c r="X23" s="386"/>
      <c r="Y23" s="394"/>
      <c r="Z23" s="395"/>
      <c r="AA23" s="611">
        <f t="shared" si="3"/>
        <v>0</v>
      </c>
      <c r="AB23" s="393"/>
      <c r="AC23" s="386"/>
      <c r="AD23" s="394"/>
      <c r="AE23" s="396"/>
      <c r="AF23" s="611">
        <f t="shared" si="4"/>
        <v>0</v>
      </c>
      <c r="AG23" s="612" cm="1">
        <f t="array" ref="AG23">IF(($J23+$V23+$AF23)=0,0,INDEX(Premises!$A$30:$F$30,1,$CH23)/100)</f>
        <v>0.01</v>
      </c>
      <c r="AH23" s="397"/>
      <c r="AI23" s="398"/>
      <c r="AJ23" s="399"/>
      <c r="AK23" s="613">
        <f t="shared" si="5"/>
        <v>0</v>
      </c>
      <c r="AL23" s="614">
        <f t="shared" si="6"/>
        <v>6.7477878238293666E-4</v>
      </c>
      <c r="AM23" s="615" cm="1">
        <f t="array" ref="AM23">IF($CI23=0,0,IFERROR(INDEX(MHR[],$CI23,MATCH($CA23,MHR!$B$4:$AY$4,0)+11),0))</f>
        <v>1.7500203399646117</v>
      </c>
      <c r="AN23" s="616" cm="1">
        <f t="array" ref="AN23">IF(($J23+$V23)=0,0,IFERROR(IF(INDEX(Premises!$A$41:$F$41,1,$CH23)&lt;&gt;0,INDEX(Premises!$A$41:$F$41,1,$CH23)/100,(IFERROR(($J23/$I23)*$AM23,0)/($V23+$J23+$R23+$AL23))),0))</f>
        <v>0.14265526315541879</v>
      </c>
      <c r="AO23" s="617">
        <f t="shared" si="7"/>
        <v>9.7223352220256205E-3</v>
      </c>
      <c r="AP23" s="618">
        <f t="shared" si="8"/>
        <v>7.7874992242702223E-2</v>
      </c>
      <c r="AQ23" s="393"/>
      <c r="AR23" s="392"/>
      <c r="AS23" s="619" cm="1">
        <f t="array" ref="AS23">IF($CJ23=0,0,IFERROR(INDEX(MAT[Einheit],$CJ23,1),0))</f>
        <v>0</v>
      </c>
      <c r="AT23" s="620" cm="1">
        <f t="array" ref="AT23">IF($CJ23=0,0,IFERROR(INDEX(MAT[Preis],$CJ23,1),0))</f>
        <v>0</v>
      </c>
      <c r="AU23" s="621">
        <f t="shared" si="9"/>
        <v>0</v>
      </c>
      <c r="AV23" s="622" cm="1">
        <f t="array" ref="AV23">IF($AU23&lt;=0,0,INDEX(Premises!$A$30:$F$30,1,$CH23)/100)</f>
        <v>0</v>
      </c>
      <c r="AW23" s="392"/>
      <c r="AX23" s="614">
        <f t="shared" si="10"/>
        <v>0</v>
      </c>
      <c r="AY23" s="623" cm="1">
        <f t="array" ref="AY23">IF($AT23&lt;=0,0,IFERROR(IF(INDEX(Premises!$A$42:$F$42,1,$CH23)&lt;&gt;0,INDEX(Premises!$A$42:$F$42,1,$CH23)/100,(INDEX(MAT[],$CJ23,MATCH($CA23,MAT!$B$4:$AE$4,0))/($AR23*$CK23*INDEX(Premises!$A$13:$F$13,1,$CH23))+INDEX(MAT[],$CJ23,MATCH($CA23,MAT!$B$4:$AE$4,0)+7))/$AT23),0))</f>
        <v>0</v>
      </c>
      <c r="AZ23" s="614">
        <f t="shared" si="11"/>
        <v>0</v>
      </c>
      <c r="BA23" s="618">
        <f t="shared" si="12"/>
        <v>0</v>
      </c>
      <c r="BB23" s="618">
        <f t="shared" si="13"/>
        <v>7.7874992242702223E-2</v>
      </c>
      <c r="BC23" s="622" cm="1">
        <f t="array" ref="BC23">IF($BB23&lt;=0,0,IF(BC$2=-1,0,INDEX(Premises!$A$32:$F$32,1,$CH23)/100))</f>
        <v>0</v>
      </c>
      <c r="BD23" s="614">
        <f t="shared" si="14"/>
        <v>0</v>
      </c>
      <c r="BE23" s="622" cm="1">
        <f t="array" ref="BE23">IF($BB23&lt;=0,0,IF(BE$2=-1,0,INDEX(Premises!$A$33:$F$33,1,$CH23)/100))</f>
        <v>0</v>
      </c>
      <c r="BF23" s="614">
        <f t="shared" si="15"/>
        <v>0</v>
      </c>
      <c r="BG23" s="622" cm="1">
        <f t="array" ref="BG23">IF($BB23&lt;=0,0,IF(BG$2=-1,0,INDEX(Premises!$A$31:$F$31,1,$CH23)/100))</f>
        <v>0.1</v>
      </c>
      <c r="BH23" s="614">
        <f t="shared" si="16"/>
        <v>7.7200213460319293E-3</v>
      </c>
      <c r="BI23" s="618">
        <f t="shared" si="17"/>
        <v>8.5595013588734156E-2</v>
      </c>
      <c r="BJ23" s="622" cm="1">
        <f t="array" ref="BJ23">IF($BB23&lt;=0,0,IF(BJ$2=-1,0,INDEX(Premises!$A$35:$F$35,1,$CH23)/100))</f>
        <v>0</v>
      </c>
      <c r="BK23" s="614">
        <f t="shared" si="18"/>
        <v>0</v>
      </c>
      <c r="BL23" s="622" cm="1">
        <f t="array" ref="BL23">IF($BB23&lt;=0,0,IF(BL$2=-1,0,INDEX(Premises!$A$36:$F$36,1,$CH23)/100))</f>
        <v>0</v>
      </c>
      <c r="BM23" s="614">
        <f t="shared" si="19"/>
        <v>0</v>
      </c>
      <c r="BN23" s="622" cm="1">
        <f t="array" ref="BN23">IF($BB23&lt;=0,0,IF(BN$2=-1,0,INDEX(Premises!$A$34:$F$34,1,$CH23)/100))</f>
        <v>0.06</v>
      </c>
      <c r="BO23" s="614">
        <f t="shared" si="20"/>
        <v>4.6320128076191569E-3</v>
      </c>
      <c r="BP23" s="622" cm="1">
        <f t="array" ref="BP23">IF($BI23=0,0,INDEX(Premises!$A$37:$F$37,1,$CH23)/100)</f>
        <v>0</v>
      </c>
      <c r="BQ23" s="392"/>
      <c r="BR23" s="614">
        <f t="shared" si="21"/>
        <v>0</v>
      </c>
      <c r="BS23" s="624">
        <f t="shared" si="22"/>
        <v>9.0227026396353313E-2</v>
      </c>
      <c r="BT23" s="624">
        <f t="shared" si="23"/>
        <v>9.0227026396353313E-2</v>
      </c>
      <c r="BU23" s="625">
        <f t="shared" si="24"/>
        <v>1</v>
      </c>
      <c r="BV23" s="400"/>
      <c r="BW23" s="401"/>
      <c r="BX23" s="401"/>
      <c r="BY23" s="402"/>
      <c r="BZ23" s="946"/>
      <c r="CA23" s="263" cm="1">
        <f t="array" ref="CA23">IF($BZ23&gt;0,VALUE(LEFT($BZ23,IF(ISERROR(FIND("-",$BZ23)),LEN($BZ23),FIND("-",$BZ23)-1))),INDEX($CA$1:$CA23,MAX(1,$CD23)))</f>
        <v>1</v>
      </c>
      <c r="CB23" s="263" cm="1">
        <f t="array" ref="CB23">IF($BT23=0,0,IF(LEN($BZ23)-LEN(SUBSTITUTE($BZ23,"-",""))&gt;1,
VALUE(MID($BZ23,FIND("-",$BZ23)+1,FIND("-",$BZ23,FIND("-",$BZ23)+1)-FIND("-",$BZ23)-1)),IF($BZ23&gt;0,0,INDEX($CB$1:$CB23,MAX(1,$CD23)))))</f>
        <v>0</v>
      </c>
      <c r="CC23" s="263" cm="1">
        <f t="array" ref="CC23">IF($BT23=0,0,IF(NOT(ISERROR(FIND("-",BZ23))),
VALUE(RIGHT($BZ23,LEN($BZ23)-IF(LEN($BZ23)-LEN(SUBSTITUTE($BZ23,"-",""))=1,FIND("-",$BZ23),FIND("-",$BZ23,FIND("-",$BZ23)+1)))),
IF($BZ23&gt;0,0,INDEX($CC$1:$CC23,MAX(1,$CD23)))))</f>
        <v>0</v>
      </c>
      <c r="CD23" s="376">
        <f>MATCH(0,$CE$1:$CE23,-1)</f>
        <v>17</v>
      </c>
      <c r="CE23" s="263"/>
      <c r="CF23" s="377"/>
      <c r="CG23" s="376" cm="1">
        <f t="array" ref="CG23">INDEX($CG$1:$CG23,$CD23)</f>
        <v>4</v>
      </c>
      <c r="CH23" s="263">
        <f>MATCH($CA23,Premises!$A$10:$F$10,0)</f>
        <v>4</v>
      </c>
      <c r="CI23" s="263">
        <f>IF(ISBLANK($E23),0,IFERROR(MATCH($E23,MHR[Bezeichnung],0),0))</f>
        <v>6</v>
      </c>
      <c r="CJ23" s="377">
        <f>IF(ISBLANK($AQ23),0,IFERROR(MATCH($AQ23,MAT[Bezeichnung],0),0))</f>
        <v>0</v>
      </c>
      <c r="CK23" s="263" cm="1">
        <f t="array" ref="CK23">INDEX($D$1:$D23,$CD23)</f>
        <v>1</v>
      </c>
      <c r="CL23" s="263"/>
      <c r="CM23" s="378"/>
      <c r="CN23" s="379" cm="1">
        <f t="array" ref="CN23">IF($CB23=0,0,IF($CB23=INDEX($CB$1:$CB23,$CD23),INDEX($CN$1:$CN23,$CD23),$CP23))</f>
        <v>0</v>
      </c>
      <c r="CO23" s="378"/>
      <c r="CP23" s="379" cm="1">
        <f t="array" ref="CP23">IF($CC23=0,0,INDEX($CP$1:$CP23,$CD23))</f>
        <v>0</v>
      </c>
      <c r="CQ23" s="380"/>
      <c r="CR23" s="381"/>
      <c r="CS23" s="381"/>
      <c r="CT23" s="948"/>
      <c r="CU23" s="2"/>
      <c r="CV23" s="630">
        <f t="shared" si="25"/>
        <v>2.1306560160714474E-3</v>
      </c>
      <c r="CW23" s="631">
        <f t="shared" si="26"/>
        <v>0</v>
      </c>
      <c r="CX23" s="631">
        <f t="shared" si="27"/>
        <v>6.5347222222222223E-2</v>
      </c>
      <c r="CY23" s="631">
        <f t="shared" si="28"/>
        <v>0</v>
      </c>
      <c r="CZ23" s="631">
        <f t="shared" si="29"/>
        <v>0</v>
      </c>
      <c r="DA23" s="631">
        <f t="shared" si="30"/>
        <v>6.7477878238293666E-4</v>
      </c>
      <c r="DB23" s="631">
        <f t="shared" si="31"/>
        <v>9.7223352220256205E-3</v>
      </c>
      <c r="DC23" s="632">
        <f t="shared" si="32"/>
        <v>7.7874992242702223E-2</v>
      </c>
      <c r="DD23" s="631">
        <f t="shared" si="33"/>
        <v>0</v>
      </c>
      <c r="DE23" s="631">
        <f t="shared" si="34"/>
        <v>0</v>
      </c>
      <c r="DF23" s="631">
        <f t="shared" si="35"/>
        <v>0</v>
      </c>
      <c r="DG23" s="632">
        <f t="shared" si="36"/>
        <v>0</v>
      </c>
      <c r="DH23" s="632">
        <f t="shared" si="37"/>
        <v>7.7874992242702223E-2</v>
      </c>
      <c r="DI23" s="631">
        <f t="shared" si="38"/>
        <v>0</v>
      </c>
      <c r="DJ23" s="631">
        <f t="shared" si="39"/>
        <v>0</v>
      </c>
      <c r="DK23" s="631">
        <f t="shared" si="40"/>
        <v>7.7200213460319293E-3</v>
      </c>
      <c r="DL23" s="631">
        <f t="shared" si="41"/>
        <v>0</v>
      </c>
      <c r="DM23" s="631">
        <f t="shared" si="42"/>
        <v>0</v>
      </c>
      <c r="DN23" s="631">
        <f t="shared" si="43"/>
        <v>4.6320128076191569E-3</v>
      </c>
      <c r="DO23" s="631">
        <f t="shared" si="44"/>
        <v>0</v>
      </c>
      <c r="DP23" s="634">
        <f t="shared" si="45"/>
        <v>9.0227026396353313E-2</v>
      </c>
      <c r="DQ23" s="929">
        <f>IF($CB23=0,0,$DP23*_xlfn.XLOOKUP($CB23,Premises!$A$10:$F$10,Premises!$A$30:$F$30)/100)</f>
        <v>0</v>
      </c>
      <c r="DR23" s="633">
        <f>IFERROR(SUM($DP23:$DQ23)*IF(INDEX(Premises!$A$42:$F$42,1,MATCH($CB23,Premises!$A$10:$F$10,0))&gt;0,INDEX(Premises!$A$42:$F$42,1,MATCH($CB23,Premises!$A$10:$F$10,0))%,$CN23),0)</f>
        <v>0</v>
      </c>
      <c r="DS23" s="633" cm="1">
        <f t="array" ref="DS23">IF($CB23=0,0,SUM($DP23:$DR23)*_xlfn.XLOOKUP($CB23,Premises!$A$10:$F$10,IF(INDEX(Settings[],MATCH(3001,Settings[ID],0),2)="B",Premises!$A$33:$F$33,Premises!$A$31:$F$31))/100)</f>
        <v>0</v>
      </c>
      <c r="DT23" s="633" cm="1">
        <f t="array" ref="DT23">IF($CB23=0,0,$DP23*_xlfn.XLOOKUP($CB23,Premises!$A$10:$F$10,IF(INDEX(Settings[],MATCH(3002,Settings[ID],0),2)="B",Premises!$A$36:$F$36,Premises!$A$34:$F$34))/100)</f>
        <v>0</v>
      </c>
      <c r="DU23" s="633">
        <f>IF($CB23=0,0,SUM($DP23:$DT23)*_xlfn.XLOOKUP($CB23,Premises!$A$10:$F$10,Premises!$A$37:$F$37)/100)</f>
        <v>0</v>
      </c>
      <c r="DV23" s="932">
        <f t="shared" si="46"/>
        <v>9.0227026396353313E-2</v>
      </c>
      <c r="DW23" s="929">
        <f>IF($CC23=0,0,$DV23*_xlfn.XLOOKUP($CC23,Premises!$A$10:$F$10,Premises!$A$30:$F$30)/100)</f>
        <v>0</v>
      </c>
      <c r="DX23" s="633">
        <f>IFERROR(SUM($DV23:$DW23)*IF(INDEX(Premises!$A$42:$F$42,1,MATCH($CC23,Premises!$A$10:$F$10,0))&gt;0,INDEX(Premises!$A$42:$F$42,1,MATCH($CC23,Premises!$A$10:$F$10,0))%,$CP23),0)</f>
        <v>0</v>
      </c>
      <c r="DY23" s="633" cm="1">
        <f t="array" ref="DY23">IF($CC23=0,0,SUM($DV23:$DX23)*_xlfn.XLOOKUP($CC23,Premises!$A$10:$F$10,IF(INDEX(Settings[],MATCH(3001,Settings[ID],0),2)="B",Premises!$A$33:$F$33,Premises!$A$31:$F$31))/100)</f>
        <v>0</v>
      </c>
      <c r="DZ23" s="633" cm="1">
        <f t="array" ref="DZ23">IF($CC23=0,0,$DV23*_xlfn.XLOOKUP($CC23,Premises!$A$10:$F$10,IF(INDEX(Settings[],MATCH(3002,Settings[ID],0),2)="B",Premises!$A$36:$F$36,Premises!$A$34:$F$34))/100)</f>
        <v>0</v>
      </c>
      <c r="EA23" s="633">
        <f>IF($CC23=0,0,SUM($DV23:$DZ23)*_xlfn.XLOOKUP($CC23,Premises!$A$10:$F$10,Premises!$A$37:$F$37)/100)</f>
        <v>0</v>
      </c>
      <c r="EB23" s="634">
        <f t="shared" si="47"/>
        <v>9.0227026396353313E-2</v>
      </c>
      <c r="EC23" s="783"/>
      <c r="ED23" s="1082"/>
      <c r="EE23" s="633"/>
      <c r="EF23" s="1088"/>
      <c r="EG23" s="1086"/>
      <c r="EH23" s="1086"/>
      <c r="EI23" s="1086"/>
      <c r="EJ23" s="1086"/>
      <c r="EK23" s="1086"/>
      <c r="EL23" s="1086"/>
      <c r="EM23" s="1088"/>
      <c r="EN23" s="1086"/>
      <c r="EO23" s="1086"/>
      <c r="EP23" s="1086"/>
      <c r="EQ23" s="1086"/>
      <c r="ER23" s="1088"/>
      <c r="ES23" s="1086"/>
      <c r="ET23" s="1086"/>
      <c r="EU23" s="1086"/>
      <c r="EV23" s="1086"/>
      <c r="EW23" s="1086"/>
      <c r="EX23" s="1089"/>
      <c r="EY23" s="2"/>
      <c r="EZ23" s="2"/>
      <c r="FA23" s="2"/>
      <c r="FB23" s="2"/>
      <c r="FC23" s="2"/>
      <c r="FD23" s="2"/>
      <c r="FE23" s="2"/>
      <c r="FF23" s="2"/>
      <c r="FG23" s="2"/>
      <c r="FH23" s="2"/>
      <c r="FI23" s="2"/>
      <c r="FJ23" s="403"/>
      <c r="FK23" s="404"/>
      <c r="FL23" s="405"/>
      <c r="FM23" s="948"/>
    </row>
    <row r="24" spans="1:169" s="13" customFormat="1" ht="12.75" customHeight="1">
      <c r="A24" s="215"/>
      <c r="B24" s="385"/>
      <c r="C24" s="386"/>
      <c r="D24" s="629"/>
      <c r="E24" s="387"/>
      <c r="F24" s="388"/>
      <c r="G24" s="388"/>
      <c r="H24" s="388"/>
      <c r="I24" s="620" cm="1">
        <f t="array" ref="I24">IF($CI24=0,0,IFERROR(INDEX(MHR[],$CI24,MATCH($CA24,MHR!$B$4:$AY$4,0)),0))</f>
        <v>0</v>
      </c>
      <c r="J24" s="617">
        <f>IF(COUNTBLANK($E24:$H24),0,IFERROR($F24/$H24/IF($G24="s",3600,IF($G24="min",60,IF($G24="h",1,0)))*I24,0))</f>
        <v>0</v>
      </c>
      <c r="K24" s="389"/>
      <c r="L24" s="390"/>
      <c r="M24" s="849"/>
      <c r="N24" s="390"/>
      <c r="O24" s="388"/>
      <c r="P24" s="628" cm="1">
        <f t="array" ref="P24">IF($K24=0,0,IFERROR(ROUNDUP(IF(ISNUMBER($K24),$K24,INDEX($D$1:$D24,$CD24)*INDEX(Premises!$A$13:$F$13,1,$CH24)/IF(OR($K24="T",$K24="D"),250,IF($K24="W",50,IF($K24="M",12,IF(OR($K24="HJ",$K24="HY"),2,IF(OR($K24="J",$K24="Y"),1,0)))))),0),0))</f>
        <v>0</v>
      </c>
      <c r="Q24" s="620" cm="1">
        <f t="array" ref="Q24">IF($K24=0,0,IFERROR(INDEX(Premises!$A$22:$F$22,1,$CH24)*100/INDEX(Premises!$A$16:$F$16,1,$CH24),0))</f>
        <v>0</v>
      </c>
      <c r="R24" s="617">
        <f>IF($P24=0,0,IFERROR(($L24/60*($I24+$Q24*$M24)+($N24/60*($Q24*$O24)))/$P24,0))</f>
        <v>0</v>
      </c>
      <c r="S24" s="391"/>
      <c r="T24" s="392"/>
      <c r="U24" s="620" cm="1">
        <f t="array" ref="U24">IF(COUNTBLANK($S24:$T24),0,
IF(AND(INDEX(MHR[Schichtmodell],$CI24)&lt;&gt;0,INDEX(MHR[Schichtmodell],$CI24)&lt;&gt;INDEX(Premises!$A$20:$F$20,1,$CH24)),ExchangeRate*
IF(OR($T24="M",$T24="U"),IF(INDEX(MHR[Schichtmodell],$CI24)=1,INDEX(LOC[M1S],INDEX(Premises!$A$18:$F$18,1,$CH24+1)),IF(INDEX(MHR[Schichtmodell],$CI24)=2,INDEX(LOC[M2S],INDEX(Premises!$A$18:$F$18,1,$CH24+1),IF(INDEX(MHR[Schichtmodell],$CI24)=3,INDEX(LOC[M3S],INDEX(Premises!$A$18:$F$18,1,$CH24+1)),0)))),
IF(INDEX(MHR[Schichtmodell],$CI24)=1,INDEX(LOC[F1S],INDEX(Premises!$A$18:$F$18,1,$CH24+1)),IF(INDEX(MHR[Schichtmodell],$CI24)=2,INDEX(LOC[F2S],INDEX(Premises!$A$18:$F$18,1,$CH24+1)),IF(INDEX(MHR[Schichtmodell],$CI24)=3,INDEX(LOC[F3S],INDEX(Premises!$A$18:$F$18,1,$CH24+1)),0)))),
IF(OR($T24="M",$T24="U"),INDEX(Premises!$A$21:$F$21,1,$CH24),
IF(OR($T24="F",$T24="S"),INDEX(Premises!$A$22:$F$22,1,$CH24),0)))*100/INDEX(Premises!$A$16:$F$16,1,$CH24))</f>
        <v>0</v>
      </c>
      <c r="V24" s="614">
        <f>IF($U24=0,0,IFERROR($F24/$H24/IF($G24="s",3600,IF($G24="min",60,IF($G24="h",1,0)))*$S24*$U24,0))</f>
        <v>0</v>
      </c>
      <c r="W24" s="393"/>
      <c r="X24" s="386"/>
      <c r="Y24" s="394"/>
      <c r="Z24" s="395"/>
      <c r="AA24" s="611">
        <f>IFERROR($X24*$Z24/$Y24/MAX(1,$H24),0)</f>
        <v>0</v>
      </c>
      <c r="AB24" s="393"/>
      <c r="AC24" s="386"/>
      <c r="AD24" s="394"/>
      <c r="AE24" s="396"/>
      <c r="AF24" s="611">
        <f>IFERROR($AC24*$AE24/$AD24,0)</f>
        <v>0</v>
      </c>
      <c r="AG24" s="612" cm="1">
        <f t="array" ref="AG24">IF(($J24+$V24+$AF24)=0,0,INDEX(Premises!$A$30:$F$30,1,$CH24)/100)</f>
        <v>0</v>
      </c>
      <c r="AH24" s="397"/>
      <c r="AI24" s="398"/>
      <c r="AJ24" s="399"/>
      <c r="AK24" s="613">
        <f>IF(COUNTBLANK($AH24:$AI24),0,$AH24*$AI24*$AG24)</f>
        <v>0</v>
      </c>
      <c r="AL24" s="614">
        <f>($AK24+$AJ24*$AG24*(1-$AH24)+($J24+$V24+$AF24)*$AG24*(1-$AH24))</f>
        <v>0</v>
      </c>
      <c r="AM24" s="615" cm="1">
        <f t="array" ref="AM24">IF($CI24=0,0,IFERROR(INDEX(MHR[],$CI24,MATCH($CA24,MHR!$B$4:$AY$4,0)+11),0))</f>
        <v>0</v>
      </c>
      <c r="AN24" s="616" cm="1">
        <f t="array" ref="AN24">IF(($J24+$V24)=0,0,IFERROR(IF(INDEX(Premises!$A$41:$F$41,1,$CH24)&lt;&gt;0,INDEX(Premises!$A$41:$F$41,1,$CH24)/100,(IFERROR(($J24/$I24)*$AM24,0)/($V24+$J24+$R24+$AL24))),0))</f>
        <v>0</v>
      </c>
      <c r="AO24" s="617">
        <f>IF(($J24+$V24)=0,0,IF(IFERROR(($J24+$R24+$V24+$AL24)*$AN24,0)&lt;&gt;IFERROR(($J24/$I24)*$AM24,0),($J24+$R24+$V24+$AL24)*$AN24,IFERROR(($J24/$I24)*$AM24,0)))</f>
        <v>0</v>
      </c>
      <c r="AP24" s="618">
        <f>$V24+$J24+$R24+$AA24+$AF24+$AL24+$AO24</f>
        <v>0</v>
      </c>
      <c r="AQ24" s="393"/>
      <c r="AR24" s="392"/>
      <c r="AS24" s="619" cm="1">
        <f t="array" ref="AS24">IF($CJ24=0,0,IFERROR(INDEX(MAT[Einheit],$CJ24,1),0))</f>
        <v>0</v>
      </c>
      <c r="AT24" s="620" cm="1">
        <f t="array" ref="AT24">IF($CJ24=0,0,IFERROR(INDEX(MAT[Preis],$CJ24,1),0))</f>
        <v>0</v>
      </c>
      <c r="AU24" s="621">
        <f>$AR24*$AT24</f>
        <v>0</v>
      </c>
      <c r="AV24" s="622" cm="1">
        <f t="array" ref="AV24">IF($AU24&lt;=0,0,INDEX(Premises!$A$30:$F$30,1,$CH24)/100)</f>
        <v>0</v>
      </c>
      <c r="AW24" s="392"/>
      <c r="AX24" s="614">
        <f>IF($AV24=0,0,($AU24+$AW24)*$AV24)</f>
        <v>0</v>
      </c>
      <c r="AY24" s="623" cm="1">
        <f t="array" ref="AY24">IF($AT24&lt;=0,0,IFERROR(IF(INDEX(Premises!$A$42:$F$42,1,$CH24)&lt;&gt;0,INDEX(Premises!$A$42:$F$42,1,$CH24)/100,(INDEX(MAT[],$CJ24,MATCH($CA24,MAT!$B$4:$AE$4,0))/($AR24*$CK24*INDEX(Premises!$A$13:$F$13,1,$CH24))+INDEX(MAT[],$CJ24,MATCH($CA24,MAT!$B$4:$AE$4,0)+7))/$AT24),0))</f>
        <v>0</v>
      </c>
      <c r="AZ24" s="614">
        <f>IF($AY24=0,0,($AU24+$AX24)*$AY24)</f>
        <v>0</v>
      </c>
      <c r="BA24" s="618">
        <f>$AU24+$AX24+$AZ24</f>
        <v>0</v>
      </c>
      <c r="BB24" s="618">
        <f>$AP24+$BA24</f>
        <v>0</v>
      </c>
      <c r="BC24" s="622" cm="1">
        <f t="array" ref="BC24">IF($BB24&lt;=0,0,IF(BC$2=-1,0,INDEX(Premises!$A$32:$F$32,1,$CH24)/100))</f>
        <v>0</v>
      </c>
      <c r="BD24" s="614">
        <f>IF($AP24&lt;=0,0,($AP24-$AA24-$AL24)*$BC24)</f>
        <v>0</v>
      </c>
      <c r="BE24" s="622" cm="1">
        <f t="array" ref="BE24">IF($BB24&lt;=0,0,IF(BE$2=-1,0,INDEX(Premises!$A$33:$F$33,1,$CH24)/100))</f>
        <v>0</v>
      </c>
      <c r="BF24" s="614">
        <f>IF($BA24&lt;=0,0,$BA24*$BE24)</f>
        <v>0</v>
      </c>
      <c r="BG24" s="622" cm="1">
        <f t="array" ref="BG24">IF($BB24&lt;=0,0,IF(BG$2=-1,0,INDEX(Premises!$A$31:$F$31,1,$CH24)/100))</f>
        <v>0</v>
      </c>
      <c r="BH24" s="614">
        <f>(($AP24-$AA24-$AL24)+$BA24)*$BG24</f>
        <v>0</v>
      </c>
      <c r="BI24" s="618">
        <f>$BB24+$BD24+$BF24+$BH24</f>
        <v>0</v>
      </c>
      <c r="BJ24" s="622" cm="1">
        <f t="array" ref="BJ24">IF($BB24&lt;=0,0,IF(BJ$2=-1,0,INDEX(Premises!$A$35:$F$35,1,$CH24)/100))</f>
        <v>0</v>
      </c>
      <c r="BK24" s="614">
        <f>IF($AP24&lt;=0,0,($AP24-$AL24-$AA24)*$BJ24)</f>
        <v>0</v>
      </c>
      <c r="BL24" s="622" cm="1">
        <f t="array" ref="BL24">IF($BB24&lt;=0,0,IF(BL$2=-1,0,INDEX(Premises!$A$36:$F$36,1,$CH24)/100))</f>
        <v>0</v>
      </c>
      <c r="BM24" s="614">
        <f>IF($AU24&lt;=0,0,($AR24*$AT24)*$BL24)</f>
        <v>0</v>
      </c>
      <c r="BN24" s="622" cm="1">
        <f t="array" ref="BN24">IF($BB24&lt;=0,0,IF(BN$2=-1,0,INDEX(Premises!$A$34:$F$34,1,$CH24)/100))</f>
        <v>0</v>
      </c>
      <c r="BO24" s="614">
        <f>(($AP24-$AL24-$AA24)+($AR24*$AT24))*$BN24</f>
        <v>0</v>
      </c>
      <c r="BP24" s="622" cm="1">
        <f t="array" ref="BP24">IF($BI24=0,0,INDEX(Premises!$A$37:$F$37,1,$CH24)/100)</f>
        <v>0</v>
      </c>
      <c r="BQ24" s="392"/>
      <c r="BR24" s="614">
        <f>($BI24+$BK24+$BM24+$BO24)*$BP24+$BQ24</f>
        <v>0</v>
      </c>
      <c r="BS24" s="624">
        <f>BI24+BK24+BM24+BO24+BR24</f>
        <v>0</v>
      </c>
      <c r="BT24" s="624">
        <f>IF($BS24=0,0,$CK24*$BS24)</f>
        <v>0</v>
      </c>
      <c r="BU24" s="625">
        <f>IF($BT24=0,0,MAX(1,$EB24/$DP24))</f>
        <v>0</v>
      </c>
      <c r="BV24" s="1127"/>
      <c r="BW24" s="401"/>
      <c r="BX24" s="401"/>
      <c r="BY24" s="402"/>
      <c r="BZ24" s="946"/>
      <c r="CA24" s="263" cm="1">
        <f t="array" ref="CA24">IF($BZ24&gt;0,VALUE(LEFT($BZ24,IF(ISERROR(FIND("-",$BZ24)),LEN($BZ24),FIND("-",$BZ24)-1))),INDEX($CA$1:$CA24,MAX(1,$CD24)))</f>
        <v>1</v>
      </c>
      <c r="CB24" s="263" cm="1">
        <f t="array" ref="CB24">IF($BT24=0,0,IF(LEN($BZ24)-LEN(SUBSTITUTE($BZ24,"-",""))&gt;1,
VALUE(MID($BZ24,FIND("-",$BZ24)+1,FIND("-",$BZ24,FIND("-",$BZ24)+1)-FIND("-",$BZ24)-1)),IF($BZ24&gt;0,0,INDEX($CB$1:$CB24,MAX(1,$CD24)))))</f>
        <v>0</v>
      </c>
      <c r="CC24" s="263" cm="1">
        <f t="array" ref="CC24">IF($BT24=0,0,IF(NOT(ISERROR(FIND("-",BZ24))),
VALUE(RIGHT($BZ24,LEN($BZ24)-IF(LEN($BZ24)-LEN(SUBSTITUTE($BZ24,"-",""))=1,FIND("-",$BZ24),FIND("-",$BZ24,FIND("-",$BZ24)+1)))),
IF($BZ24&gt;0,0,INDEX($CC$1:$CC24,MAX(1,$CD24)))))</f>
        <v>0</v>
      </c>
      <c r="CD24" s="376">
        <f>MATCH(0,$CE$1:$CE24,-1)</f>
        <v>17</v>
      </c>
      <c r="CE24" s="263"/>
      <c r="CF24" s="377"/>
      <c r="CG24" s="376" cm="1">
        <f t="array" ref="CG24">INDEX($CG$1:$CG24,$CD24)</f>
        <v>4</v>
      </c>
      <c r="CH24" s="263">
        <f>MATCH($CA24,Premises!$A$10:$F$10,0)</f>
        <v>4</v>
      </c>
      <c r="CI24" s="263">
        <f>IF(ISBLANK($E24),0,IFERROR(MATCH($E24,MHR[Bezeichnung],0),0))</f>
        <v>0</v>
      </c>
      <c r="CJ24" s="377">
        <f>IF(ISBLANK($AQ24),0,IFERROR(MATCH($AQ24,MAT[Bezeichnung],0),0))</f>
        <v>0</v>
      </c>
      <c r="CK24" s="263" cm="1">
        <f t="array" ref="CK24">INDEX($D$1:$D24,$CD24)</f>
        <v>1</v>
      </c>
      <c r="CL24" s="263"/>
      <c r="CM24" s="378"/>
      <c r="CN24" s="379" cm="1">
        <f t="array" ref="CN24">IF($CB24=0,0,IF($CB24=INDEX($CB$1:$CB24,$CD24),INDEX($CN$1:$CN24,$CD24),$CP24))</f>
        <v>0</v>
      </c>
      <c r="CO24" s="378"/>
      <c r="CP24" s="379" cm="1">
        <f t="array" ref="CP24">IF($CC24=0,0,INDEX($CP$1:$CP24,$CD24))</f>
        <v>0</v>
      </c>
      <c r="CQ24" s="380"/>
      <c r="CR24" s="381"/>
      <c r="CS24" s="381"/>
      <c r="CT24" s="1132"/>
      <c r="CU24" s="1129"/>
      <c r="CV24" s="630">
        <f>$J24*$CK24</f>
        <v>0</v>
      </c>
      <c r="CW24" s="631">
        <f>$R24*$CK24</f>
        <v>0</v>
      </c>
      <c r="CX24" s="631">
        <f>$V24*$CK24</f>
        <v>0</v>
      </c>
      <c r="CY24" s="631">
        <f>$AA24*$CK24</f>
        <v>0</v>
      </c>
      <c r="CZ24" s="631">
        <f>$AF24*$CK24</f>
        <v>0</v>
      </c>
      <c r="DA24" s="631">
        <f>$AL24*$CK24</f>
        <v>0</v>
      </c>
      <c r="DB24" s="631">
        <f>$AO24*$CK24</f>
        <v>0</v>
      </c>
      <c r="DC24" s="632">
        <f>$AP24*$CK24</f>
        <v>0</v>
      </c>
      <c r="DD24" s="631">
        <f>$AU24*$CK24</f>
        <v>0</v>
      </c>
      <c r="DE24" s="631">
        <f>$AX24*$CK24</f>
        <v>0</v>
      </c>
      <c r="DF24" s="631">
        <f>$AZ24*$CK24</f>
        <v>0</v>
      </c>
      <c r="DG24" s="632">
        <f>$BA24*$CK24</f>
        <v>0</v>
      </c>
      <c r="DH24" s="632">
        <f>$BB24*$CK24</f>
        <v>0</v>
      </c>
      <c r="DI24" s="631">
        <f>$BD24*$CK24</f>
        <v>0</v>
      </c>
      <c r="DJ24" s="631">
        <f>$BF24*$CK24</f>
        <v>0</v>
      </c>
      <c r="DK24" s="631">
        <f>$BH24*$CK24</f>
        <v>0</v>
      </c>
      <c r="DL24" s="631">
        <f>$BK24*$CK24</f>
        <v>0</v>
      </c>
      <c r="DM24" s="631">
        <f>$BM24*$CK24</f>
        <v>0</v>
      </c>
      <c r="DN24" s="631">
        <f>$BO24*$CK24</f>
        <v>0</v>
      </c>
      <c r="DO24" s="631">
        <f>$BR24*$CK24</f>
        <v>0</v>
      </c>
      <c r="DP24" s="634">
        <f>$CK24*($BB24+$BD24+$BF24+$BH24+$BK24+$BM24+$BO24+$BR24)</f>
        <v>0</v>
      </c>
      <c r="DQ24" s="929">
        <f>IF($CB24=0,0,$DP24*_xlfn.XLOOKUP($CB24,Premises!$A$10:$F$10,Premises!$A$30:$F$30)/100)</f>
        <v>0</v>
      </c>
      <c r="DR24" s="633">
        <f>IFERROR(SUM($DP24:$DQ24)*IF(INDEX(Premises!$A$42:$F$42,1,MATCH($CB24,Premises!$A$10:$F$10,0))&gt;0,INDEX(Premises!$A$42:$F$42,1,MATCH($CB24,Premises!$A$10:$F$10,0))%,$CN24),0)</f>
        <v>0</v>
      </c>
      <c r="DS24" s="633" cm="1">
        <f t="array" ref="DS24">IF($CB24=0,0,SUM($DP24:$DR24)*_xlfn.XLOOKUP($CB24,Premises!$A$10:$F$10,IF(INDEX(Settings[],MATCH(3001,Settings[ID],0),2)="B",Premises!$A$33:$F$33,Premises!$A$31:$F$31))/100)</f>
        <v>0</v>
      </c>
      <c r="DT24" s="633" cm="1">
        <f t="array" ref="DT24">IF($CB24=0,0,$DP24*_xlfn.XLOOKUP($CB24,Premises!$A$10:$F$10,IF(INDEX(Settings[],MATCH(3002,Settings[ID],0),2)="B",Premises!$A$36:$F$36,Premises!$A$34:$F$34))/100)</f>
        <v>0</v>
      </c>
      <c r="DU24" s="633">
        <f>IF($CB24=0,0,SUM($DP24:$DT24)*_xlfn.XLOOKUP($CB24,Premises!$A$10:$F$10,Premises!$A$37:$F$37)/100)</f>
        <v>0</v>
      </c>
      <c r="DV24" s="932">
        <f>SUM($DP24:$DU24)</f>
        <v>0</v>
      </c>
      <c r="DW24" s="929">
        <f>IF($CC24=0,0,$DV24*_xlfn.XLOOKUP($CC24,Premises!$A$10:$F$10,Premises!$A$30:$F$30)/100)</f>
        <v>0</v>
      </c>
      <c r="DX24" s="633">
        <f>IFERROR(SUM($DV24:$DW24)*IF(INDEX(Premises!$A$42:$F$42,1,MATCH($CC24,Premises!$A$10:$F$10,0))&gt;0,INDEX(Premises!$A$42:$F$42,1,MATCH($CC24,Premises!$A$10:$F$10,0))%,$CP24),0)</f>
        <v>0</v>
      </c>
      <c r="DY24" s="633" cm="1">
        <f t="array" ref="DY24">IF($CC24=0,0,SUM($DV24:$DX24)*_xlfn.XLOOKUP($CC24,Premises!$A$10:$F$10,IF(INDEX(Settings[],MATCH(3001,Settings[ID],0),2)="B",Premises!$A$33:$F$33,Premises!$A$31:$F$31))/100)</f>
        <v>0</v>
      </c>
      <c r="DZ24" s="633" cm="1">
        <f t="array" ref="DZ24">IF($CC24=0,0,$DV24*_xlfn.XLOOKUP($CC24,Premises!$A$10:$F$10,IF(INDEX(Settings[],MATCH(3002,Settings[ID],0),2)="B",Premises!$A$36:$F$36,Premises!$A$34:$F$34))/100)</f>
        <v>0</v>
      </c>
      <c r="EA24" s="633">
        <f>IF($CC24=0,0,SUM($DV24:$DZ24)*_xlfn.XLOOKUP($CC24,Premises!$A$10:$F$10,Premises!$A$37:$F$37)/100)</f>
        <v>0</v>
      </c>
      <c r="EB24" s="634">
        <f>SUM($DV24:$EA24)</f>
        <v>0</v>
      </c>
      <c r="EC24" s="783"/>
      <c r="ED24" s="1082"/>
      <c r="EE24" s="633"/>
      <c r="EF24" s="1088"/>
      <c r="EG24" s="1086"/>
      <c r="EH24" s="1086"/>
      <c r="EI24" s="1086"/>
      <c r="EJ24" s="1086"/>
      <c r="EK24" s="1086"/>
      <c r="EL24" s="1086"/>
      <c r="EM24" s="1088"/>
      <c r="EN24" s="1086"/>
      <c r="EO24" s="1086"/>
      <c r="EP24" s="1086"/>
      <c r="EQ24" s="1086"/>
      <c r="ER24" s="1088"/>
      <c r="ES24" s="1086"/>
      <c r="ET24" s="1086"/>
      <c r="EU24" s="1086"/>
      <c r="EV24" s="1086"/>
      <c r="EW24" s="1086"/>
      <c r="EX24" s="1089"/>
      <c r="EY24" s="2"/>
      <c r="EZ24" s="2"/>
      <c r="FA24" s="2"/>
      <c r="FB24" s="2"/>
      <c r="FC24" s="2"/>
      <c r="FD24" s="2"/>
      <c r="FE24" s="2"/>
      <c r="FF24" s="2"/>
      <c r="FG24" s="2"/>
      <c r="FH24" s="2"/>
      <c r="FI24" s="2"/>
      <c r="FJ24" s="403"/>
      <c r="FK24" s="404"/>
      <c r="FL24" s="405"/>
      <c r="FM24" s="1133"/>
    </row>
    <row r="25" spans="1:169" s="13" customFormat="1" ht="12.75" customHeight="1">
      <c r="A25" s="215"/>
      <c r="B25" s="385"/>
      <c r="C25" s="386"/>
      <c r="D25" s="629"/>
      <c r="E25" s="387"/>
      <c r="F25" s="388"/>
      <c r="G25" s="388"/>
      <c r="H25" s="388"/>
      <c r="I25" s="620" cm="1">
        <f t="array" ref="I25">IF($CI25=0,0,IFERROR(INDEX(MHR[],$CI25,MATCH($CA25,MHR!$B$4:$AY$4,0)),0))</f>
        <v>0</v>
      </c>
      <c r="J25" s="617">
        <f t="shared" si="0"/>
        <v>0</v>
      </c>
      <c r="K25" s="389"/>
      <c r="L25" s="390"/>
      <c r="M25" s="849"/>
      <c r="N25" s="390"/>
      <c r="O25" s="388"/>
      <c r="P25" s="628" cm="1">
        <f t="array" ref="P25">IF($K25=0,0,IFERROR(ROUNDUP(IF(ISNUMBER($K25),$K25,INDEX($D$1:$D25,$CD25)*INDEX(Premises!$A$13:$F$13,1,$CH25)/IF(OR($K25="T",$K25="D"),250,IF($K25="W",50,IF($K25="M",12,IF(OR($K25="HJ",$K25="HY"),2,IF(OR($K25="J",$K25="Y"),1,0)))))),0),0))</f>
        <v>0</v>
      </c>
      <c r="Q25" s="620" cm="1">
        <f t="array" ref="Q25">IF($K25=0,0,IFERROR(INDEX(Premises!$A$22:$F$22,1,$CH25)*100/INDEX(Premises!$A$16:$F$16,1,$CH25),0))</f>
        <v>0</v>
      </c>
      <c r="R25" s="617">
        <f t="shared" si="1"/>
        <v>0</v>
      </c>
      <c r="S25" s="391"/>
      <c r="T25" s="392"/>
      <c r="U25" s="620" cm="1">
        <f t="array" ref="U25">IF(COUNTBLANK($S25:$T25),0,
IF(AND(INDEX(MHR[Schichtmodell],$CI25)&lt;&gt;0,INDEX(MHR[Schichtmodell],$CI25)&lt;&gt;INDEX(Premises!$A$20:$F$20,1,$CH25)),ExchangeRate*
IF(OR($T25="M",$T25="U"),IF(INDEX(MHR[Schichtmodell],$CI25)=1,INDEX(LOC[M1S],INDEX(Premises!$A$18:$F$18,1,$CH25+1)),IF(INDEX(MHR[Schichtmodell],$CI25)=2,INDEX(LOC[M2S],INDEX(Premises!$A$18:$F$18,1,$CH25+1),IF(INDEX(MHR[Schichtmodell],$CI25)=3,INDEX(LOC[M3S],INDEX(Premises!$A$18:$F$18,1,$CH25+1)),0)))),
IF(INDEX(MHR[Schichtmodell],$CI25)=1,INDEX(LOC[F1S],INDEX(Premises!$A$18:$F$18,1,$CH25+1)),IF(INDEX(MHR[Schichtmodell],$CI25)=2,INDEX(LOC[F2S],INDEX(Premises!$A$18:$F$18,1,$CH25+1)),IF(INDEX(MHR[Schichtmodell],$CI25)=3,INDEX(LOC[F3S],INDEX(Premises!$A$18:$F$18,1,$CH25+1)),0)))),
IF(OR($T25="M",$T25="U"),INDEX(Premises!$A$21:$F$21,1,$CH25),
IF(OR($T25="F",$T25="S"),INDEX(Premises!$A$22:$F$22,1,$CH25),0)))*100/INDEX(Premises!$A$16:$F$16,1,$CH25))</f>
        <v>0</v>
      </c>
      <c r="V25" s="614">
        <f t="shared" si="2"/>
        <v>0</v>
      </c>
      <c r="W25" s="393"/>
      <c r="X25" s="386"/>
      <c r="Y25" s="394"/>
      <c r="Z25" s="395"/>
      <c r="AA25" s="611">
        <f t="shared" si="3"/>
        <v>0</v>
      </c>
      <c r="AB25" s="393"/>
      <c r="AC25" s="386"/>
      <c r="AD25" s="394"/>
      <c r="AE25" s="396"/>
      <c r="AF25" s="611">
        <f t="shared" si="4"/>
        <v>0</v>
      </c>
      <c r="AG25" s="612" cm="1">
        <f t="array" ref="AG25">IF(($J25+$V25+$AF25)=0,0,INDEX(Premises!$A$30:$F$30,1,$CH25)/100)</f>
        <v>0</v>
      </c>
      <c r="AH25" s="397"/>
      <c r="AI25" s="398"/>
      <c r="AJ25" s="399"/>
      <c r="AK25" s="613">
        <f t="shared" si="5"/>
        <v>0</v>
      </c>
      <c r="AL25" s="614">
        <f t="shared" si="6"/>
        <v>0</v>
      </c>
      <c r="AM25" s="615" cm="1">
        <f t="array" ref="AM25">IF($CI25=0,0,IFERROR(INDEX(MHR[],$CI25,MATCH($CA25,MHR!$B$4:$AY$4,0)+11),0))</f>
        <v>0</v>
      </c>
      <c r="AN25" s="616" cm="1">
        <f t="array" ref="AN25">IF(($J25+$V25)=0,0,IFERROR(IF(INDEX(Premises!$A$41:$F$41,1,$CH25)&lt;&gt;0,INDEX(Premises!$A$41:$F$41,1,$CH25)/100,(IFERROR(($J25/$I25)*$AM25,0)/($V25+$J25+$R25+$AL25))),0))</f>
        <v>0</v>
      </c>
      <c r="AO25" s="617">
        <f t="shared" si="7"/>
        <v>0</v>
      </c>
      <c r="AP25" s="618">
        <f t="shared" si="8"/>
        <v>0</v>
      </c>
      <c r="AQ25" s="393"/>
      <c r="AR25" s="392"/>
      <c r="AS25" s="619" cm="1">
        <f t="array" ref="AS25">IF($CJ25=0,0,IFERROR(INDEX(MAT[Einheit],$CJ25,1),0))</f>
        <v>0</v>
      </c>
      <c r="AT25" s="620" cm="1">
        <f t="array" ref="AT25">IF($CJ25=0,0,IFERROR(INDEX(MAT[Preis],$CJ25,1),0))</f>
        <v>0</v>
      </c>
      <c r="AU25" s="621">
        <f t="shared" si="9"/>
        <v>0</v>
      </c>
      <c r="AV25" s="622" cm="1">
        <f t="array" ref="AV25">IF($AU25&lt;=0,0,INDEX(Premises!$A$30:$F$30,1,$CH25)/100)</f>
        <v>0</v>
      </c>
      <c r="AW25" s="392"/>
      <c r="AX25" s="614">
        <f t="shared" si="10"/>
        <v>0</v>
      </c>
      <c r="AY25" s="623" cm="1">
        <f t="array" ref="AY25">IF($AT25&lt;=0,0,IFERROR(IF(INDEX(Premises!$A$42:$F$42,1,$CH25)&lt;&gt;0,INDEX(Premises!$A$42:$F$42,1,$CH25)/100,(INDEX(MAT[],$CJ25,MATCH($CA25,MAT!$B$4:$AE$4,0))/($AR25*$CK25*INDEX(Premises!$A$13:$F$13,1,$CH25))+INDEX(MAT[],$CJ25,MATCH($CA25,MAT!$B$4:$AE$4,0)+7))/$AT25),0))</f>
        <v>0</v>
      </c>
      <c r="AZ25" s="614">
        <f t="shared" si="11"/>
        <v>0</v>
      </c>
      <c r="BA25" s="618">
        <f t="shared" si="12"/>
        <v>0</v>
      </c>
      <c r="BB25" s="618">
        <f t="shared" si="13"/>
        <v>0</v>
      </c>
      <c r="BC25" s="622" cm="1">
        <f t="array" ref="BC25">IF($BB25&lt;=0,0,IF(BC$2=-1,0,INDEX(Premises!$A$32:$F$32,1,$CH25)/100))</f>
        <v>0</v>
      </c>
      <c r="BD25" s="614">
        <f t="shared" si="14"/>
        <v>0</v>
      </c>
      <c r="BE25" s="622" cm="1">
        <f t="array" ref="BE25">IF($BB25&lt;=0,0,IF(BE$2=-1,0,INDEX(Premises!$A$33:$F$33,1,$CH25)/100))</f>
        <v>0</v>
      </c>
      <c r="BF25" s="614">
        <f t="shared" si="15"/>
        <v>0</v>
      </c>
      <c r="BG25" s="622" cm="1">
        <f t="array" ref="BG25">IF($BB25&lt;=0,0,IF(BG$2=-1,0,INDEX(Premises!$A$31:$F$31,1,$CH25)/100))</f>
        <v>0</v>
      </c>
      <c r="BH25" s="614">
        <f t="shared" si="16"/>
        <v>0</v>
      </c>
      <c r="BI25" s="618">
        <f t="shared" si="17"/>
        <v>0</v>
      </c>
      <c r="BJ25" s="622" cm="1">
        <f t="array" ref="BJ25">IF($BB25&lt;=0,0,IF(BJ$2=-1,0,INDEX(Premises!$A$35:$F$35,1,$CH25)/100))</f>
        <v>0</v>
      </c>
      <c r="BK25" s="614">
        <f t="shared" si="18"/>
        <v>0</v>
      </c>
      <c r="BL25" s="622" cm="1">
        <f t="array" ref="BL25">IF($BB25&lt;=0,0,IF(BL$2=-1,0,INDEX(Premises!$A$36:$F$36,1,$CH25)/100))</f>
        <v>0</v>
      </c>
      <c r="BM25" s="614">
        <f t="shared" si="19"/>
        <v>0</v>
      </c>
      <c r="BN25" s="622" cm="1">
        <f t="array" ref="BN25">IF($BB25&lt;=0,0,IF(BN$2=-1,0,INDEX(Premises!$A$34:$F$34,1,$CH25)/100))</f>
        <v>0</v>
      </c>
      <c r="BO25" s="614">
        <f t="shared" si="20"/>
        <v>0</v>
      </c>
      <c r="BP25" s="622" cm="1">
        <f t="array" ref="BP25">IF($BI25=0,0,INDEX(Premises!$A$37:$F$37,1,$CH25)/100)</f>
        <v>0</v>
      </c>
      <c r="BQ25" s="392"/>
      <c r="BR25" s="614">
        <f t="shared" si="21"/>
        <v>0</v>
      </c>
      <c r="BS25" s="624">
        <f t="shared" si="22"/>
        <v>0</v>
      </c>
      <c r="BT25" s="624">
        <f t="shared" si="23"/>
        <v>0</v>
      </c>
      <c r="BU25" s="625">
        <f t="shared" si="24"/>
        <v>0</v>
      </c>
      <c r="BV25" s="400"/>
      <c r="BW25" s="401"/>
      <c r="BX25" s="401"/>
      <c r="BY25" s="402"/>
      <c r="BZ25" s="946"/>
      <c r="CA25" s="263" cm="1">
        <f t="array" ref="CA25">IF($BZ25&gt;0,VALUE(LEFT($BZ25,IF(ISERROR(FIND("-",$BZ25)),LEN($BZ25),FIND("-",$BZ25)-1))),INDEX($CA$1:$CA25,MAX(1,$CD25)))</f>
        <v>1</v>
      </c>
      <c r="CB25" s="263" cm="1">
        <f t="array" ref="CB25">IF($BT25=0,0,IF(LEN($BZ25)-LEN(SUBSTITUTE($BZ25,"-",""))&gt;1,
VALUE(MID($BZ25,FIND("-",$BZ25)+1,FIND("-",$BZ25,FIND("-",$BZ25)+1)-FIND("-",$BZ25)-1)),IF($BZ25&gt;0,0,INDEX($CB$1:$CB25,MAX(1,$CD25)))))</f>
        <v>0</v>
      </c>
      <c r="CC25" s="263" cm="1">
        <f t="array" ref="CC25">IF($BT25=0,0,IF(NOT(ISERROR(FIND("-",BZ25))),
VALUE(RIGHT($BZ25,LEN($BZ25)-IF(LEN($BZ25)-LEN(SUBSTITUTE($BZ25,"-",""))=1,FIND("-",$BZ25),FIND("-",$BZ25,FIND("-",$BZ25)+1)))),
IF($BZ25&gt;0,0,INDEX($CC$1:$CC25,MAX(1,$CD25)))))</f>
        <v>0</v>
      </c>
      <c r="CD25" s="376">
        <f>MATCH(0,$CE$1:$CE25,-1)</f>
        <v>17</v>
      </c>
      <c r="CE25" s="263"/>
      <c r="CF25" s="377"/>
      <c r="CG25" s="376" cm="1">
        <f t="array" ref="CG25">INDEX($CG$1:$CG25,$CD25)</f>
        <v>4</v>
      </c>
      <c r="CH25" s="263">
        <f>MATCH($CA25,Premises!$A$10:$F$10,0)</f>
        <v>4</v>
      </c>
      <c r="CI25" s="263">
        <f>IF(ISBLANK($E25),0,IFERROR(MATCH($E25,MHR[Bezeichnung],0),0))</f>
        <v>0</v>
      </c>
      <c r="CJ25" s="377">
        <f>IF(ISBLANK($AQ25),0,IFERROR(MATCH($AQ25,MAT[Bezeichnung],0),0))</f>
        <v>0</v>
      </c>
      <c r="CK25" s="263" cm="1">
        <f t="array" ref="CK25">INDEX($D$1:$D25,$CD25)</f>
        <v>1</v>
      </c>
      <c r="CL25" s="263"/>
      <c r="CM25" s="378"/>
      <c r="CN25" s="379" cm="1">
        <f t="array" ref="CN25">IF($CB25=0,0,IF($CB25=INDEX($CB$1:$CB25,$CD25),INDEX($CN$1:$CN25,$CD25),$CP25))</f>
        <v>0</v>
      </c>
      <c r="CO25" s="378"/>
      <c r="CP25" s="379" cm="1">
        <f t="array" ref="CP25">IF($CC25=0,0,INDEX($CP$1:$CP25,$CD25))</f>
        <v>0</v>
      </c>
      <c r="CQ25" s="380"/>
      <c r="CR25" s="381"/>
      <c r="CS25" s="381"/>
      <c r="CT25" s="948"/>
      <c r="CU25" s="2"/>
      <c r="CV25" s="630">
        <f t="shared" si="25"/>
        <v>0</v>
      </c>
      <c r="CW25" s="631">
        <f t="shared" si="26"/>
        <v>0</v>
      </c>
      <c r="CX25" s="631">
        <f t="shared" si="27"/>
        <v>0</v>
      </c>
      <c r="CY25" s="631">
        <f t="shared" si="28"/>
        <v>0</v>
      </c>
      <c r="CZ25" s="631">
        <f t="shared" si="29"/>
        <v>0</v>
      </c>
      <c r="DA25" s="631">
        <f t="shared" si="30"/>
        <v>0</v>
      </c>
      <c r="DB25" s="631">
        <f t="shared" si="31"/>
        <v>0</v>
      </c>
      <c r="DC25" s="632">
        <f t="shared" si="32"/>
        <v>0</v>
      </c>
      <c r="DD25" s="631">
        <f t="shared" si="33"/>
        <v>0</v>
      </c>
      <c r="DE25" s="631">
        <f t="shared" si="34"/>
        <v>0</v>
      </c>
      <c r="DF25" s="631">
        <f t="shared" si="35"/>
        <v>0</v>
      </c>
      <c r="DG25" s="632">
        <f t="shared" si="36"/>
        <v>0</v>
      </c>
      <c r="DH25" s="632">
        <f t="shared" si="37"/>
        <v>0</v>
      </c>
      <c r="DI25" s="631">
        <f t="shared" si="38"/>
        <v>0</v>
      </c>
      <c r="DJ25" s="631">
        <f t="shared" si="39"/>
        <v>0</v>
      </c>
      <c r="DK25" s="631">
        <f t="shared" si="40"/>
        <v>0</v>
      </c>
      <c r="DL25" s="631">
        <f t="shared" si="41"/>
        <v>0</v>
      </c>
      <c r="DM25" s="631">
        <f t="shared" si="42"/>
        <v>0</v>
      </c>
      <c r="DN25" s="631">
        <f t="shared" si="43"/>
        <v>0</v>
      </c>
      <c r="DO25" s="631">
        <f t="shared" si="44"/>
        <v>0</v>
      </c>
      <c r="DP25" s="634">
        <f t="shared" si="45"/>
        <v>0</v>
      </c>
      <c r="DQ25" s="929">
        <f>IF($CB25=0,0,$DP25*_xlfn.XLOOKUP($CB25,Premises!$A$10:$F$10,Premises!$A$30:$F$30)/100)</f>
        <v>0</v>
      </c>
      <c r="DR25" s="633">
        <f>IFERROR(SUM($DP25:$DQ25)*IF(INDEX(Premises!$A$42:$F$42,1,MATCH($CB25,Premises!$A$10:$F$10,0))&gt;0,INDEX(Premises!$A$42:$F$42,1,MATCH($CB25,Premises!$A$10:$F$10,0))%,$CN25),0)</f>
        <v>0</v>
      </c>
      <c r="DS25" s="633" cm="1">
        <f t="array" ref="DS25">IF($CB25=0,0,SUM($DP25:$DR25)*_xlfn.XLOOKUP($CB25,Premises!$A$10:$F$10,IF(INDEX(Settings[],MATCH(3001,Settings[ID],0),2)="B",Premises!$A$33:$F$33,Premises!$A$31:$F$31))/100)</f>
        <v>0</v>
      </c>
      <c r="DT25" s="633" cm="1">
        <f t="array" ref="DT25">IF($CB25=0,0,$DP25*_xlfn.XLOOKUP($CB25,Premises!$A$10:$F$10,IF(INDEX(Settings[],MATCH(3002,Settings[ID],0),2)="B",Premises!$A$36:$F$36,Premises!$A$34:$F$34))/100)</f>
        <v>0</v>
      </c>
      <c r="DU25" s="633">
        <f>IF($CB25=0,0,SUM($DP25:$DT25)*_xlfn.XLOOKUP($CB25,Premises!$A$10:$F$10,Premises!$A$37:$F$37)/100)</f>
        <v>0</v>
      </c>
      <c r="DV25" s="932">
        <f t="shared" si="46"/>
        <v>0</v>
      </c>
      <c r="DW25" s="929">
        <f>IF($CC25=0,0,$DV25*_xlfn.XLOOKUP($CC25,Premises!$A$10:$F$10,Premises!$A$30:$F$30)/100)</f>
        <v>0</v>
      </c>
      <c r="DX25" s="633">
        <f>IFERROR(SUM($DV25:$DW25)*IF(INDEX(Premises!$A$42:$F$42,1,MATCH($CC25,Premises!$A$10:$F$10,0))&gt;0,INDEX(Premises!$A$42:$F$42,1,MATCH($CC25,Premises!$A$10:$F$10,0))%,$CP25),0)</f>
        <v>0</v>
      </c>
      <c r="DY25" s="633" cm="1">
        <f t="array" ref="DY25">IF($CC25=0,0,SUM($DV25:$DX25)*_xlfn.XLOOKUP($CC25,Premises!$A$10:$F$10,IF(INDEX(Settings[],MATCH(3001,Settings[ID],0),2)="B",Premises!$A$33:$F$33,Premises!$A$31:$F$31))/100)</f>
        <v>0</v>
      </c>
      <c r="DZ25" s="633" cm="1">
        <f t="array" ref="DZ25">IF($CC25=0,0,$DV25*_xlfn.XLOOKUP($CC25,Premises!$A$10:$F$10,IF(INDEX(Settings[],MATCH(3002,Settings[ID],0),2)="B",Premises!$A$36:$F$36,Premises!$A$34:$F$34))/100)</f>
        <v>0</v>
      </c>
      <c r="EA25" s="633">
        <f>IF($CC25=0,0,SUM($DV25:$DZ25)*_xlfn.XLOOKUP($CC25,Premises!$A$10:$F$10,Premises!$A$37:$F$37)/100)</f>
        <v>0</v>
      </c>
      <c r="EB25" s="634">
        <f t="shared" si="47"/>
        <v>0</v>
      </c>
      <c r="EC25" s="783"/>
      <c r="ED25" s="1082"/>
      <c r="EE25" s="633"/>
      <c r="EF25" s="1088"/>
      <c r="EG25" s="1086"/>
      <c r="EH25" s="1086"/>
      <c r="EI25" s="1086"/>
      <c r="EJ25" s="1086"/>
      <c r="EK25" s="1086"/>
      <c r="EL25" s="1086"/>
      <c r="EM25" s="1088"/>
      <c r="EN25" s="1086"/>
      <c r="EO25" s="1086"/>
      <c r="EP25" s="1086"/>
      <c r="EQ25" s="1086"/>
      <c r="ER25" s="1088"/>
      <c r="ES25" s="1086"/>
      <c r="ET25" s="1086"/>
      <c r="EU25" s="1086"/>
      <c r="EV25" s="1086"/>
      <c r="EW25" s="1086"/>
      <c r="EX25" s="1089"/>
      <c r="EY25" s="2"/>
      <c r="EZ25" s="2"/>
      <c r="FA25" s="2"/>
      <c r="FB25" s="2"/>
      <c r="FC25" s="2"/>
      <c r="FD25" s="2"/>
      <c r="FE25" s="2"/>
      <c r="FF25" s="2"/>
      <c r="FG25" s="2"/>
      <c r="FH25" s="2"/>
      <c r="FI25" s="2"/>
      <c r="FJ25" s="403"/>
      <c r="FK25" s="404"/>
      <c r="FL25" s="405"/>
      <c r="FM25" s="948"/>
    </row>
    <row r="26" spans="1:169" s="13" customFormat="1" ht="12.75" customHeight="1">
      <c r="A26" s="215"/>
      <c r="B26" s="370" t="str">
        <f>BOM!$A$5</f>
        <v>01-01-01 PCB Main UI</v>
      </c>
      <c r="C26" s="371"/>
      <c r="D26" s="372" cm="1">
        <f t="array" ref="D26">IF($CG26=0,0,INDEX(BOM!$N:$N,$CG26))</f>
        <v>1</v>
      </c>
      <c r="E26" s="627" t="s">
        <v>664</v>
      </c>
      <c r="F26" s="627" t="s">
        <v>664</v>
      </c>
      <c r="G26" s="627" t="s">
        <v>664</v>
      </c>
      <c r="H26" s="627" t="s">
        <v>664</v>
      </c>
      <c r="I26" s="627" t="s">
        <v>664</v>
      </c>
      <c r="J26" s="627" t="s">
        <v>664</v>
      </c>
      <c r="K26" s="627" t="s">
        <v>664</v>
      </c>
      <c r="L26" s="627" t="s">
        <v>664</v>
      </c>
      <c r="M26" s="627" t="s">
        <v>664</v>
      </c>
      <c r="N26" s="627" t="s">
        <v>664</v>
      </c>
      <c r="O26" s="627" t="s">
        <v>664</v>
      </c>
      <c r="P26" s="627" t="s">
        <v>664</v>
      </c>
      <c r="Q26" s="627" t="s">
        <v>664</v>
      </c>
      <c r="R26" s="627" t="s">
        <v>664</v>
      </c>
      <c r="S26" s="627" t="s">
        <v>664</v>
      </c>
      <c r="T26" s="627" t="s">
        <v>664</v>
      </c>
      <c r="U26" s="627" t="s">
        <v>664</v>
      </c>
      <c r="V26" s="627" t="s">
        <v>664</v>
      </c>
      <c r="W26" s="627" t="s">
        <v>664</v>
      </c>
      <c r="X26" s="627" t="s">
        <v>664</v>
      </c>
      <c r="Y26" s="627" t="s">
        <v>664</v>
      </c>
      <c r="Z26" s="627" t="s">
        <v>664</v>
      </c>
      <c r="AA26" s="627" t="s">
        <v>664</v>
      </c>
      <c r="AB26" s="627" t="s">
        <v>664</v>
      </c>
      <c r="AC26" s="627" t="s">
        <v>664</v>
      </c>
      <c r="AD26" s="627" t="s">
        <v>664</v>
      </c>
      <c r="AE26" s="627" t="s">
        <v>664</v>
      </c>
      <c r="AF26" s="627" t="s">
        <v>664</v>
      </c>
      <c r="AG26" s="627" t="s">
        <v>664</v>
      </c>
      <c r="AH26" s="627" t="s">
        <v>664</v>
      </c>
      <c r="AI26" s="627" t="s">
        <v>664</v>
      </c>
      <c r="AJ26" s="627" t="s">
        <v>664</v>
      </c>
      <c r="AK26" s="627" t="s">
        <v>664</v>
      </c>
      <c r="AL26" s="627" t="s">
        <v>664</v>
      </c>
      <c r="AM26" s="627" t="s">
        <v>664</v>
      </c>
      <c r="AN26" s="627" t="s">
        <v>664</v>
      </c>
      <c r="AO26" s="627" t="s">
        <v>664</v>
      </c>
      <c r="AP26" s="627" t="s">
        <v>664</v>
      </c>
      <c r="AQ26" s="627" t="s">
        <v>664</v>
      </c>
      <c r="AR26" s="627" t="s">
        <v>664</v>
      </c>
      <c r="AS26" s="627" t="s">
        <v>664</v>
      </c>
      <c r="AT26" s="627" t="s">
        <v>664</v>
      </c>
      <c r="AU26" s="627" t="s">
        <v>664</v>
      </c>
      <c r="AV26" s="627" t="s">
        <v>664</v>
      </c>
      <c r="AW26" s="627" t="s">
        <v>664</v>
      </c>
      <c r="AX26" s="627" t="s">
        <v>664</v>
      </c>
      <c r="AY26" s="627" t="s">
        <v>664</v>
      </c>
      <c r="AZ26" s="627" t="s">
        <v>664</v>
      </c>
      <c r="BA26" s="627" t="s">
        <v>664</v>
      </c>
      <c r="BB26" s="627" t="s">
        <v>664</v>
      </c>
      <c r="BC26" s="627" t="s">
        <v>664</v>
      </c>
      <c r="BD26" s="627" t="s">
        <v>664</v>
      </c>
      <c r="BE26" s="627" t="s">
        <v>664</v>
      </c>
      <c r="BF26" s="627" t="s">
        <v>664</v>
      </c>
      <c r="BG26" s="627" t="s">
        <v>664</v>
      </c>
      <c r="BH26" s="627" t="s">
        <v>664</v>
      </c>
      <c r="BI26" s="627" t="s">
        <v>664</v>
      </c>
      <c r="BJ26" s="627" t="s">
        <v>664</v>
      </c>
      <c r="BK26" s="627" t="s">
        <v>664</v>
      </c>
      <c r="BL26" s="627" t="s">
        <v>664</v>
      </c>
      <c r="BM26" s="627" t="s">
        <v>664</v>
      </c>
      <c r="BN26" s="627" t="s">
        <v>664</v>
      </c>
      <c r="BO26" s="627" t="s">
        <v>664</v>
      </c>
      <c r="BP26" s="627" t="s">
        <v>664</v>
      </c>
      <c r="BQ26" s="627" t="s">
        <v>664</v>
      </c>
      <c r="BR26" s="627" t="s">
        <v>664</v>
      </c>
      <c r="BS26" s="898">
        <f>SUM(INDEX($BS:$BS,ROW()+1):INDEX($BS:$BS,$CE26))</f>
        <v>5.9980615144855411</v>
      </c>
      <c r="BT26" s="898">
        <f>SUM(INDEX($BT:$BT,ROW()+1):INDEX($BT:$BT,$CE26))</f>
        <v>5.9980615144855411</v>
      </c>
      <c r="BU26" s="627" t="s">
        <v>664</v>
      </c>
      <c r="BV26" s="626">
        <f>SUMPRODUCT($BS26:INDEX($BS:$BS,$CE26),$BU26:INDEX($BU:$BU,$CE26))</f>
        <v>5.9980615144855411</v>
      </c>
      <c r="BW26" s="373">
        <f>$D26*$BV26</f>
        <v>5.9980615144855411</v>
      </c>
      <c r="BX26" s="794" cm="1">
        <f t="array" ref="BX26">IF($CG26=0,0,IF(INDEX(BOM!$P:$P,$CG26)=0,0,
SUMPRODUCT($BW26:INDEX($BW:$BW,IFERROR(ROW()+MATCH($CL26,INDEX($CL:$CL,ROW()+1):INDEX($CL:$CL,MAX($CE:$CE)),0)-1,MAX($CE:$CE))),
($CL26:INDEX($CL:$CL,IFERROR(ROW()+MATCH($CL26,INDEX($CL:$CL,ROW()+1):INDEX($CL:$CL,MAX($CE:$CE)),0)-1,MAX($CE:$CE)))&gt;=$CL26)*1)
))</f>
        <v>0</v>
      </c>
      <c r="BY26" s="374"/>
      <c r="BZ26" s="375" cm="1">
        <f t="array" ref="BZ26">IF($CG26=0,0,INDEX(BOM!$M:$M,$CG26))</f>
        <v>1</v>
      </c>
      <c r="CA26" s="263">
        <f>IF($BZ26&gt;0,VALUE(LEFT($BZ26,IF(ISERROR(FIND("-",$BZ26)),LEN($BZ26),FIND("-",$BZ26)-1))),INDEX($BZ$1:BZ26,MATCH("",$A$1:A26,-1)))</f>
        <v>1</v>
      </c>
      <c r="CB26" s="263">
        <f>IF(LEN($BZ26)-LEN(SUBSTITUTE($BZ26,"-",))&gt;1,
VALUE(MID($BZ26,FIND("-",$BZ26)+1,FIND("-",$BZ26,FIND("-",$BZ26)+1)-FIND("-",$BZ26)-1)),0)</f>
        <v>0</v>
      </c>
      <c r="CC26" s="263">
        <f>IF(NOT(ISERROR(FIND("-",BZ26))),
VALUE(RIGHT($BZ26,LEN($BZ26)-IF(LEN($BZ26)-LEN(SUBSTITUTE($BZ26,"-",""))=1,FIND("-",$BZ26),FIND("-",$BZ26,FIND("-",$BZ26)+1)))),0)</f>
        <v>0</v>
      </c>
      <c r="CD26" s="376"/>
      <c r="CE26" s="263" cm="1">
        <f t="array" ref="CE26">ROW()+MATCH(TRUE,_xlfn.ISFORMULA(INDEX(BW:BW,ROW()+1):INDEX(BW:BW,ROW()+MaxNumberOfRowsPerBlock)),0)-1</f>
        <v>37</v>
      </c>
      <c r="CF26" s="377" cm="1">
        <f t="array" ref="CF26">IF(CL26=0,-1,IF(CL26=1,7,MAX(IF($CL$1:$CL26=CL26-1,ROW($CL$1:$CL26),0))))</f>
        <v>17</v>
      </c>
      <c r="CG26" s="376">
        <f>IFERROR(MATCH($B26,BOM!$A:$A,0),0)</f>
        <v>5</v>
      </c>
      <c r="CH26" s="263">
        <f>MATCH($CA26,Premises!$A$10:$F$10,0)</f>
        <v>4</v>
      </c>
      <c r="CI26" s="263"/>
      <c r="CJ26" s="377"/>
      <c r="CK26" s="263"/>
      <c r="CL26" s="263" cm="1">
        <f t="array" ref="CL26">IF($CG26=0,0,INDEX(BOM!$C:$C,$CG26))</f>
        <v>3</v>
      </c>
      <c r="CM26" s="378" cm="1">
        <f t="array" ref="CM26">IF($CG26=0,0,IF(OR($CF26&lt;0,AND(INDEX($CB:$CB,$CF26)=$CB26,INDEX($CC:$CC,$CF26)=$CC26)),0,IF(INDEX(BOM!$P:$P,$CG26)=0,$BT26,(SUMIF($CA26:INDEX($CA:$CA,IFERROR(ROW()+MATCH($CL26,INDEX($CL:$CL,ROW()+1):INDEX($CL:$CL,MAX($CE:$CE)),0)-1,MAX($CE:$CE))),$CA26,$BT26:INDEX($BT:$BT,IFERROR(ROW()+MATCH($CL26,INDEX($CL:$CL,ROW()+1):INDEX($CL:$CL,MAX($CE:$CE)),0)-1,MAX($CE:$CE))))+SUMIF($CB26:INDEX($CB:$CB,IFERROR(ROW()+MATCH($CL26,INDEX($CL:$CL,ROW()+1):INDEX($CL:$CL,MAX($CE:$CE)),0)-1,MAX($CE:$CE))),$CA26,$BT26:INDEX($BT:$BT,IFERROR(ROW()+MATCH($CL26,INDEX($CL:$CL,ROW()+1):INDEX($CL:$CL,MAX($CE:$CE)),0)-1,MAX($CE:$CE)))))/2)))</f>
        <v>0</v>
      </c>
      <c r="CN26" s="379" cm="1">
        <f t="array" ref="CN26">IFERROR(IF($CB26=0,0,IF($CM26=0,INDEX($CN$1:$CN26,$CF26),INDEX(IF($CM26&lt;0.2,Premises!$A$43:$F$43,IF($CM26&lt;5,Premises!$A$46:$F$46,Premises!$A$49:$F$49)),MATCH($CB26,Premises!$A$10:$F$10,0))/($CM26*INDEX(Premises!$A$13:$F$13,MATCH($CB26,Premises!$A$10:$F$10,0)))+INDEX(IF($CM26&lt;0.2,Premises!$A$44:$F$44,IF($CM26&lt;5,Premises!$A$47:$F$47,Premises!$A$50:$F$50)),MATCH($CB26,Premises!$A$10:$F$10,0))+INDEX(IF($CM26&lt;0.2,Premises!$A$45:$F$45,IF($CM26&lt;5,Premises!$A$48:$F$48,Premises!$A$51:$F$51)),MATCH($CB26,Premises!$A$10:$F$10,0))/$CM26)),0.01)</f>
        <v>0</v>
      </c>
      <c r="CO26" s="378" cm="1">
        <f t="array" ref="CO26">IF($CG26=0,0,IF(INDEX($CC:$CC,$CF26)=$CC26,0,$CM26*(1+IFERROR(INDEX(Premises!$A$52:$F$52,1,MATCH($CB26,Premises!$A$10:$F$10,0)),0)+$CN26)))</f>
        <v>0</v>
      </c>
      <c r="CP26" s="379" cm="1">
        <f t="array" ref="CP26">IFERROR(IF($CC26=0,0,IF($CO26=0,INDEX($CP$1:$CP26,$CF26),INDEX(IF($CO26&lt;0.2,Premises!$A$43:$F$43,IF($CO26&lt;5,Premises!$A$46:$F$46,Premises!$A$49:$F$49)),MATCH($CC26,Premises!$A$10:$F$10,0))/($CO26*INDEX(Premises!$A$13:$F$13,MATCH($CC26,Premises!$A$10:$F$10,0)))+INDEX(IF($CO26&lt;0.2,Premises!$A$44:$F$44,IF($CO26&lt;5,Premises!$A$47:$F$47,Premises!$A$50:$F$50)),MATCH($CC26,Premises!$A$10:$F$10,0))+INDEX(IF($CO26&lt;0.2,Premises!$A$45:$F$45,IF($CO26&lt;5,Premises!$A$48:$F$48,Premises!$A$51:$F$51)),MATCH($CC26,Premises!$A$10:$F$10,0))/$CO26)),0.01)</f>
        <v>0</v>
      </c>
      <c r="CQ26" s="380" cm="1">
        <f t="array" ref="CQ26">IF(AND($CM26=0,$CO26=0),0,INDEX(BOM!$O:$O,$CG26))</f>
        <v>0</v>
      </c>
      <c r="CR26" s="381" cm="1">
        <f t="array" ref="CR26">IF(OR($CM26=0,$CN26=0),0,ACOS(COS(RADIANS(90-INDEX(Premises!$A$66:$F$66,1,$CH26)))*COS(RADIANS(90-INDEX(Premises!$A$66:$F$66,1,MATCH($CB26,Premises!$A$10:$F$10,0))))
+SIN(RADIANS(90-INDEX(Premises!$A$66:$F$66,1,$CH26)))*SIN(RADIANS(90-INDEX(Premises!$A$66:$F$66,1,MATCH($CB26,Premises!$A$10:$F$10,0)))) * COS(RADIANS(INDEX(Premises!$A$67:$F$67,1,$CH26)-INDEX(Premises!$A$67:$F$67,1,MATCH($CB26,Premises!$A$10:$F$10,0)))))*6371)</f>
        <v>0</v>
      </c>
      <c r="CS26" s="381" cm="1">
        <f t="array" ref="CS26">IF(OR($CO26=0,$CP26=0),0,
IF($CR26=0,ACOS(COS(RADIANS(90-INDEX(Premises!$A$66:$F$66,1,$CH26)))*COS(RADIANS(90-INDEX(Premises!$A$66:$F$66,1,MATCH($CC26,Premises!$A$10:$F$10,0))))
+SIN(RADIANS(90-INDEX(Premises!$A$66:$F$66,1,$CH26)))*SIN(RADIANS(90-INDEX(Premises!$A$66:$F$66,1,MATCH($CC26,Premises!$A$10:$F$10,0))))*COS(RADIANS(INDEX(Premises!$A$67:$F$67,1,$CH26)-INDEX(Premises!$A$67:$F$67,1,MATCH($CC26,Premises!$A$10:$F$10,0)))))*6371,
ACOS(COS(RADIANS(90-INDEX(Premises!$A$66:$F$66,1,MATCH($CB26,Premises!$A$10:$F$10,0))))*COS(RADIANS(90-INDEX(Premises!$A$66:$F$66,1,MATCH($CC26,Premises!$A$10:$F$10,0))))
+SIN(RADIANS(90-INDEX(Premises!$A$66:$F$66,1,MATCH($CB26,Premises!$A$10:$F$10,0))))*SIN(RADIANS(90-INDEX(Premises!$A$66:$F$66,1,MATCH($CC26,Premises!$A$10:$F$10,0))))*COS(RADIANS(INDEX(Premises!$A$67:$F$67,1,MATCH($CB26,Premises!$A$10:$F$10,0))-INDEX(Premises!$A$67:$F$67,1,MATCH($CC26,Premises!$A$10:$F$10,0)))))*6371))</f>
        <v>0</v>
      </c>
      <c r="CT26" s="947"/>
      <c r="CU26" s="2"/>
      <c r="CV26" s="382">
        <f>SUM(INDEX(CV:CV,ROW()+1):INDEX(CV:CV,$CE26))</f>
        <v>0.16050945588086973</v>
      </c>
      <c r="CW26" s="383">
        <f>SUM(INDEX(CW:CW,ROW()+1):INDEX(CW:CW,$CE26))</f>
        <v>3.0003380343127807E-2</v>
      </c>
      <c r="CX26" s="383">
        <f>SUM(INDEX(CX:CX,ROW()+1):INDEX(CX:CX,$CE26))</f>
        <v>0.15391993634259257</v>
      </c>
      <c r="CY26" s="383">
        <f>SUM(INDEX(CY:CY,ROW()+1):INDEX(CY:CY,$CE26))</f>
        <v>0</v>
      </c>
      <c r="CZ26" s="383">
        <f>SUM(INDEX(CZ:CZ,ROW()+1):INDEX(CZ:CZ,$CE26))</f>
        <v>0</v>
      </c>
      <c r="DA26" s="383">
        <f>SUM(INDEX(DA:DA,ROW()+1):INDEX(DA:DA,$CE26))</f>
        <v>3.1442939222346231E-3</v>
      </c>
      <c r="DB26" s="383">
        <f>SUM(INDEX(DB:DB,ROW()+1):INDEX(DB:DB,$CE26))</f>
        <v>4.0270954639734964E-2</v>
      </c>
      <c r="DC26" s="383">
        <f>SUM(INDEX(DC:DC,ROW()+1):INDEX(DC:DC,$CE26))</f>
        <v>0.38784802112855976</v>
      </c>
      <c r="DD26" s="383">
        <f>SUM(INDEX(DD:DD,ROW()+1):INDEX(DD:DD,$CE26))</f>
        <v>4.7198357810215521</v>
      </c>
      <c r="DE26" s="383">
        <f>SUM(INDEX(DE:DE,ROW()+1):INDEX(DE:DE,$CE26))</f>
        <v>4.7198357810215523E-2</v>
      </c>
      <c r="DF26" s="383">
        <f>SUM(INDEX(DF:DF,ROW()+1):INDEX(DF:DF,$CE26))</f>
        <v>1.9757452207028906E-2</v>
      </c>
      <c r="DG26" s="383">
        <f>SUM(INDEX(DG:DG,ROW()+1):INDEX(DG:DG,$CE26))</f>
        <v>4.7867915910387957</v>
      </c>
      <c r="DH26" s="383">
        <f>SUM(INDEX(DH:DH,ROW()+1):INDEX(DH:DH,$CE26))</f>
        <v>5.1746396121673541</v>
      </c>
      <c r="DI26" s="383">
        <f>SUM(INDEX(DI:DI,ROW()+1):INDEX(DI:DI,$CE26))</f>
        <v>0</v>
      </c>
      <c r="DJ26" s="383">
        <f>SUM(INDEX(DJ:DJ,ROW()+1):INDEX(DJ:DJ,$CE26))</f>
        <v>0</v>
      </c>
      <c r="DK26" s="383">
        <f>SUM(INDEX(DK:DK,ROW()+1):INDEX(DK:DK,$CE26))</f>
        <v>0.51714953182451218</v>
      </c>
      <c r="DL26" s="383">
        <f>SUM(INDEX(DL:DL,ROW()+1):INDEX(DL:DL,$CE26))</f>
        <v>0</v>
      </c>
      <c r="DM26" s="383">
        <f>SUM(INDEX(DM:DM,ROW()+1):INDEX(DM:DM,$CE26))</f>
        <v>0</v>
      </c>
      <c r="DN26" s="383">
        <f>SUM(INDEX(DN:DN,ROW()+1):INDEX(DN:DN,$CE26))</f>
        <v>0.30627237049367262</v>
      </c>
      <c r="DO26" s="383">
        <f>SUM(INDEX(DO:DO,ROW()+1):INDEX(DO:DO,$CE26))</f>
        <v>0</v>
      </c>
      <c r="DP26" s="383">
        <f>SUM(INDEX(DP:DP,ROW()+1):INDEX(DP:DP,$CE26))</f>
        <v>5.9980615144855411</v>
      </c>
      <c r="DQ26" s="383">
        <f>SUM(INDEX(DQ:DQ,ROW()+1):INDEX(DQ:DQ,$CE26))</f>
        <v>0</v>
      </c>
      <c r="DR26" s="383">
        <f>SUM(INDEX(DR:DR,ROW()+1):INDEX(DR:DR,$CE26))</f>
        <v>0</v>
      </c>
      <c r="DS26" s="383">
        <f>SUM(INDEX(DS:DS,ROW()+1):INDEX(DS:DS,$CE26))</f>
        <v>0</v>
      </c>
      <c r="DT26" s="383">
        <f>SUM(INDEX(DT:DT,ROW()+1):INDEX(DT:DT,$CE26))</f>
        <v>0</v>
      </c>
      <c r="DU26" s="383">
        <f>SUM(INDEX(DU:DU,ROW()+1):INDEX(DU:DU,$CE26))</f>
        <v>0</v>
      </c>
      <c r="DV26" s="383">
        <f>SUM(INDEX(DV:DV,ROW()+1):INDEX(DV:DV,$CE26))</f>
        <v>5.9980615144855411</v>
      </c>
      <c r="DW26" s="383">
        <f>SUM(INDEX(DW:DW,ROW()+1):INDEX(DW:DW,$CE26))</f>
        <v>0</v>
      </c>
      <c r="DX26" s="383">
        <f>SUM(INDEX(DX:DX,ROW()+1):INDEX(DX:DX,$CE26))</f>
        <v>0</v>
      </c>
      <c r="DY26" s="383">
        <f>SUM(INDEX(DY:DY,ROW()+1):INDEX(DY:DY,$CE26))</f>
        <v>0</v>
      </c>
      <c r="DZ26" s="383">
        <f>SUM(INDEX(DZ:DZ,ROW()+1):INDEX(DZ:DZ,$CE26))</f>
        <v>0</v>
      </c>
      <c r="EA26" s="383">
        <f>SUM(INDEX(EA:EA,ROW()+1):INDEX(EA:EA,$CE26))</f>
        <v>0</v>
      </c>
      <c r="EB26" s="384">
        <f>SUM(INDEX(EB:EB,ROW()+1):INDEX(EB:EB,$CE26))</f>
        <v>5.9980615144855411</v>
      </c>
      <c r="EC26" s="783"/>
      <c r="ED26" s="382"/>
      <c r="EE26" s="383"/>
      <c r="EF26" s="1090"/>
      <c r="EG26" s="1090"/>
      <c r="EH26" s="1090"/>
      <c r="EI26" s="1090"/>
      <c r="EJ26" s="1090"/>
      <c r="EK26" s="1090"/>
      <c r="EL26" s="1090"/>
      <c r="EM26" s="1090"/>
      <c r="EN26" s="1090"/>
      <c r="EO26" s="1090"/>
      <c r="EP26" s="1090"/>
      <c r="EQ26" s="1090"/>
      <c r="ER26" s="1090"/>
      <c r="ES26" s="1090"/>
      <c r="ET26" s="1090"/>
      <c r="EU26" s="1090"/>
      <c r="EV26" s="1090"/>
      <c r="EW26" s="1090"/>
      <c r="EX26" s="1091"/>
      <c r="EY26" s="2"/>
      <c r="EZ26" s="2"/>
      <c r="FA26" s="2"/>
      <c r="FB26" s="2"/>
      <c r="FC26" s="2"/>
      <c r="FD26" s="2"/>
      <c r="FE26" s="2"/>
      <c r="FF26" s="2"/>
      <c r="FG26" s="2"/>
      <c r="FH26" s="2"/>
      <c r="FI26" s="2"/>
      <c r="FJ26" s="382"/>
      <c r="FK26" s="383"/>
      <c r="FL26" s="384"/>
      <c r="FM26" s="947"/>
    </row>
    <row r="27" spans="1:169" s="13" customFormat="1" ht="12.75" customHeight="1">
      <c r="A27" s="215"/>
      <c r="B27" s="385" t="s">
        <v>34</v>
      </c>
      <c r="C27" s="386"/>
      <c r="D27" s="629"/>
      <c r="E27" s="387"/>
      <c r="F27" s="388"/>
      <c r="G27" s="388"/>
      <c r="H27" s="388"/>
      <c r="I27" s="620" cm="1">
        <f t="array" ref="I27">IF($CI27=0,0,IFERROR(INDEX(MHR[],$CI27,MATCH($CA27,MHR!$B$4:$AY$4,0)),0))</f>
        <v>0</v>
      </c>
      <c r="J27" s="617">
        <f t="shared" ref="J27:J37" si="48">IF(COUNTBLANK($E27:$H27),0,IFERROR($F27/$H27/IF($G27="s",3600,IF($G27="min",60,IF($G27="h",1,0)))*I27,0))</f>
        <v>0</v>
      </c>
      <c r="K27" s="389"/>
      <c r="L27" s="390"/>
      <c r="M27" s="849"/>
      <c r="N27" s="390"/>
      <c r="O27" s="388"/>
      <c r="P27" s="628" cm="1">
        <f t="array" ref="P27">IF($K27=0,0,IFERROR(ROUNDUP(IF(ISNUMBER($K27),$K27,INDEX($D$1:$D27,$CD27)*INDEX(Premises!$A$13:$F$13,1,$CH27)/IF(OR($K27="T",$K27="D"),250,IF($K27="W",50,IF($K27="M",12,IF(OR($K27="HJ",$K27="HY"),2,IF(OR($K27="J",$K27="Y"),1,0)))))),0),0))</f>
        <v>0</v>
      </c>
      <c r="Q27" s="620" cm="1">
        <f t="array" ref="Q27">IF($K27=0,0,IFERROR(INDEX(Premises!$A$22:$F$22,1,$CH27)*100/INDEX(Premises!$A$16:$F$16,1,$CH27),0))</f>
        <v>0</v>
      </c>
      <c r="R27" s="617">
        <f>IF($P27=0,0,IFERROR(($L27/60*($I27+$Q27*$M27)+($N27/60*($Q27*$O27)))/$P27,0))</f>
        <v>0</v>
      </c>
      <c r="S27" s="391"/>
      <c r="T27" s="392"/>
      <c r="U27" s="620" cm="1">
        <f t="array" ref="U27">IF(COUNTBLANK($S27:$T27),0,
IF(AND(INDEX(MHR[Schichtmodell],$CI27)&lt;&gt;0,INDEX(MHR[Schichtmodell],$CI27)&lt;&gt;INDEX(Premises!$A$20:$F$20,1,$CH27)),ExchangeRate*
IF(OR($T27="M",$T27="U"),IF(INDEX(MHR[Schichtmodell],$CI27)=1,INDEX(LOC[M1S],INDEX(Premises!$A$18:$F$18,1,$CH27+1)),IF(INDEX(MHR[Schichtmodell],$CI27)=2,INDEX(LOC[M2S],INDEX(Premises!$A$18:$F$18,1,$CH27+1),IF(INDEX(MHR[Schichtmodell],$CI27)=3,INDEX(LOC[M3S],INDEX(Premises!$A$18:$F$18,1,$CH27+1)),0)))),
IF(INDEX(MHR[Schichtmodell],$CI27)=1,INDEX(LOC[F1S],INDEX(Premises!$A$18:$F$18,1,$CH27+1)),IF(INDEX(MHR[Schichtmodell],$CI27)=2,INDEX(LOC[F2S],INDEX(Premises!$A$18:$F$18,1,$CH27+1)),IF(INDEX(MHR[Schichtmodell],$CI27)=3,INDEX(LOC[F3S],INDEX(Premises!$A$18:$F$18,1,$CH27+1)),0)))),
IF(OR($T27="M",$T27="U"),INDEX(Premises!$A$21:$F$21,1,$CH27),
IF(OR($T27="F",$T27="S"),INDEX(Premises!$A$22:$F$22,1,$CH27),0)))*100/INDEX(Premises!$A$16:$F$16,1,$CH27))</f>
        <v>0</v>
      </c>
      <c r="V27" s="614">
        <f t="shared" ref="V27:V37" si="49">IF($U27=0,0,IFERROR($F27/$H27/IF($G27="s",3600,IF($G27="min",60,IF($G27="h",1,0)))*$S27*$U27,0))</f>
        <v>0</v>
      </c>
      <c r="W27" s="393"/>
      <c r="X27" s="386"/>
      <c r="Y27" s="394"/>
      <c r="Z27" s="395"/>
      <c r="AA27" s="611">
        <f t="shared" ref="AA27:AA37" si="50">IFERROR($X27*$Z27/$Y27/MAX(1,$H27),0)</f>
        <v>0</v>
      </c>
      <c r="AB27" s="393"/>
      <c r="AC27" s="386"/>
      <c r="AD27" s="394"/>
      <c r="AE27" s="396"/>
      <c r="AF27" s="611">
        <f t="shared" ref="AF27:AF37" si="51">IFERROR($AC27*$AE27/$AD27,0)</f>
        <v>0</v>
      </c>
      <c r="AG27" s="612" cm="1">
        <f t="array" ref="AG27">IF(($J27+$V27+$AF27)=0,0,INDEX(Premises!$A$30:$F$30,1,$CH27)/100)</f>
        <v>0</v>
      </c>
      <c r="AH27" s="397"/>
      <c r="AI27" s="398"/>
      <c r="AJ27" s="399"/>
      <c r="AK27" s="613">
        <f t="shared" ref="AK27:AK37" si="52">IF(COUNTBLANK($AH27:$AI27),0,$AH27*$AI27*$AG27)</f>
        <v>0</v>
      </c>
      <c r="AL27" s="614">
        <f t="shared" ref="AL27:AL37" si="53">($AK27+$AJ27*$AG27*(1-$AH27)+($J27+$V27+$AF27)*$AG27*(1-$AH27))</f>
        <v>0</v>
      </c>
      <c r="AM27" s="615" cm="1">
        <f t="array" ref="AM27">IF($CI27=0,0,IFERROR(INDEX(MHR[],$CI27,MATCH($CA27,MHR!$B$4:$AY$4,0)+11),0))</f>
        <v>0</v>
      </c>
      <c r="AN27" s="616" cm="1">
        <f t="array" ref="AN27">IF(($J27+$V27)=0,0,IFERROR(IF(INDEX(Premises!$A$41:$F$41,1,$CH27)&lt;&gt;0,INDEX(Premises!$A$41:$F$41,1,$CH27)/100,(IFERROR(($J27/$I27)*$AM27,0)/($V27+$J27+$R27+$AL27))),0))</f>
        <v>0</v>
      </c>
      <c r="AO27" s="617">
        <f t="shared" ref="AO27:AO37" si="54">IF(($J27+$V27)=0,0,IF(IFERROR(($J27+$R27+$V27+$AL27)*$AN27,0)&lt;&gt;IFERROR(($J27/$I27)*$AM27,0),($J27+$R27+$V27+$AL27)*$AN27,IFERROR(($J27/$I27)*$AM27,0)))</f>
        <v>0</v>
      </c>
      <c r="AP27" s="618">
        <f t="shared" ref="AP27:AP37" si="55">$V27+$J27+$R27+$AA27+$AF27+$AL27+$AO27</f>
        <v>0</v>
      </c>
      <c r="AQ27" s="393" t="s">
        <v>4035</v>
      </c>
      <c r="AR27" s="392">
        <f>VLOOKUP(B26,BOM!$1:$1048576,6,0)</f>
        <v>1</v>
      </c>
      <c r="AS27" s="619" t="str" cm="1">
        <f t="array" ref="AS27">IF($CJ27=0,0,IFERROR(INDEX(MAT[Einheit],$CJ27,1),0))</f>
        <v>pcs.</v>
      </c>
      <c r="AT27" s="620" cm="1">
        <f t="array" ref="AT27">IF($CJ27=0,0,IFERROR(INDEX(MAT[Preis],$CJ27,1),0))</f>
        <v>4.7198357810215521</v>
      </c>
      <c r="AU27" s="621">
        <f t="shared" ref="AU27:AU37" si="56">$AR27*$AT27</f>
        <v>4.7198357810215521</v>
      </c>
      <c r="AV27" s="622" cm="1">
        <f t="array" ref="AV27">IF($AU27&lt;=0,0,INDEX(Premises!$A$30:$F$30,1,$CH27)/100)</f>
        <v>0.01</v>
      </c>
      <c r="AW27" s="392"/>
      <c r="AX27" s="614">
        <f t="shared" ref="AX27:AX37" si="57">IF($AV27=0,0,($AU27+$AW27)*$AV27)</f>
        <v>4.7198357810215523E-2</v>
      </c>
      <c r="AY27" s="623" cm="1">
        <f t="array" ref="AY27">IF($AT27&lt;=0,0,IFERROR(IF(INDEX(Premises!$A$42:$F$42,1,$CH27)&lt;&gt;0,INDEX(Premises!$A$42:$F$42,1,$CH27)/100,(INDEX(MAT[],$CJ27,MATCH($CA27,MAT!$B$4:$AE$4,0))/($AR27*$CK27*INDEX(Premises!$A$13:$F$13,1,$CH27))+INDEX(MAT[],$CJ27,MATCH($CA27,MAT!$B$4:$AE$4,0)+7))/$AT27),0))</f>
        <v>4.1446005276292745E-3</v>
      </c>
      <c r="AZ27" s="614">
        <f t="shared" ref="AZ27:AZ37" si="58">IF($AY27=0,0,($AU27+$AX27)*$AY27)</f>
        <v>1.9757452207028906E-2</v>
      </c>
      <c r="BA27" s="618">
        <f t="shared" ref="BA27:BA37" si="59">$AU27+$AX27+$AZ27</f>
        <v>4.7867915910387957</v>
      </c>
      <c r="BB27" s="618">
        <f t="shared" ref="BB27:BB37" si="60">$AP27+$BA27</f>
        <v>4.7867915910387957</v>
      </c>
      <c r="BC27" s="622" cm="1">
        <f t="array" ref="BC27">IF($BB27&lt;=0,0,IF(BC$2=-1,0,INDEX(Premises!$A$32:$F$32,1,$CH27)/100))</f>
        <v>0</v>
      </c>
      <c r="BD27" s="614">
        <f t="shared" ref="BD27:BD37" si="61">IF($AP27&lt;=0,0,($AP27-$AA27-$AL27)*$BC27)</f>
        <v>0</v>
      </c>
      <c r="BE27" s="622" cm="1">
        <f t="array" ref="BE27">IF($BB27&lt;=0,0,IF(BE$2=-1,0,INDEX(Premises!$A$33:$F$33,1,$CH27)/100))</f>
        <v>0</v>
      </c>
      <c r="BF27" s="614">
        <f t="shared" ref="BF27:BF37" si="62">IF($BA27&lt;=0,0,$BA27*$BE27)</f>
        <v>0</v>
      </c>
      <c r="BG27" s="622" cm="1">
        <f t="array" ref="BG27">IF($BB27&lt;=0,0,IF(BG$2=-1,0,INDEX(Premises!$A$31:$F$31,1,$CH27)/100))</f>
        <v>0.1</v>
      </c>
      <c r="BH27" s="614">
        <f t="shared" ref="BH27:BH37" si="63">(($AP27-$AA27-$AL27)+$BA27)*$BG27</f>
        <v>0.47867915910387959</v>
      </c>
      <c r="BI27" s="618">
        <f t="shared" ref="BI27:BI37" si="64">$BB27+$BD27+$BF27+$BH27</f>
        <v>5.2654707501426756</v>
      </c>
      <c r="BJ27" s="622" cm="1">
        <f t="array" ref="BJ27">IF($BB27&lt;=0,0,IF(BJ$2=-1,0,INDEX(Premises!$A$35:$F$35,1,$CH27)/100))</f>
        <v>0</v>
      </c>
      <c r="BK27" s="614">
        <f t="shared" ref="BK27:BK37" si="65">IF($AP27&lt;=0,0,($AP27-$AL27-$AA27)*$BJ27)</f>
        <v>0</v>
      </c>
      <c r="BL27" s="622" cm="1">
        <f t="array" ref="BL27">IF($BB27&lt;=0,0,IF(BL$2=-1,0,INDEX(Premises!$A$36:$F$36,1,$CH27)/100))</f>
        <v>0</v>
      </c>
      <c r="BM27" s="614">
        <f t="shared" ref="BM27:BM37" si="66">IF($AU27&lt;=0,0,($AR27*$AT27)*$BL27)</f>
        <v>0</v>
      </c>
      <c r="BN27" s="622" cm="1">
        <f t="array" ref="BN27">IF($BB27&lt;=0,0,IF(BN$2=-1,0,INDEX(Premises!$A$34:$F$34,1,$CH27)/100))</f>
        <v>0.06</v>
      </c>
      <c r="BO27" s="614">
        <f t="shared" ref="BO27:BO37" si="67">(($AP27-$AL27-$AA27)+($AR27*$AT27))*$BN27</f>
        <v>0.28319014686129312</v>
      </c>
      <c r="BP27" s="622" cm="1">
        <f t="array" ref="BP27">IF($BI27=0,0,INDEX(Premises!$A$37:$F$37,1,$CH27)/100)</f>
        <v>0</v>
      </c>
      <c r="BQ27" s="392"/>
      <c r="BR27" s="614">
        <f t="shared" ref="BR27:BR37" si="68">($BI27+$BK27+$BM27+$BO27)*$BP27+$BQ27</f>
        <v>0</v>
      </c>
      <c r="BS27" s="624">
        <f t="shared" ref="BS27:BS37" si="69">BI27+BK27+BM27+BO27+BR27</f>
        <v>5.5486608970039688</v>
      </c>
      <c r="BT27" s="624">
        <f t="shared" ref="BT27:BT37" si="70">IF($BS27=0,0,$CK27*$BS27)</f>
        <v>5.5486608970039688</v>
      </c>
      <c r="BU27" s="625">
        <f t="shared" ref="BU27:BU37" si="71">IF($BT27=0,0,MAX(1,$EB27/$DP27))</f>
        <v>1</v>
      </c>
      <c r="BV27" s="400"/>
      <c r="BW27" s="401"/>
      <c r="BX27" s="401"/>
      <c r="BY27" s="402"/>
      <c r="BZ27" s="946"/>
      <c r="CA27" s="263" cm="1">
        <f t="array" ref="CA27">IF($BZ27&gt;0,VALUE(LEFT($BZ27,IF(ISERROR(FIND("-",$BZ27)),LEN($BZ27),FIND("-",$BZ27)-1))),INDEX($CA$1:$CA27,MAX(1,$CD27)))</f>
        <v>1</v>
      </c>
      <c r="CB27" s="263" cm="1">
        <f t="array" ref="CB27">IF($BT27=0,0,IF(LEN($BZ27)-LEN(SUBSTITUTE($BZ27,"-",""))&gt;1,
VALUE(MID($BZ27,FIND("-",$BZ27)+1,FIND("-",$BZ27,FIND("-",$BZ27)+1)-FIND("-",$BZ27)-1)),IF($BZ27&gt;0,0,INDEX($CB$1:$CB27,MAX(1,$CD27)))))</f>
        <v>0</v>
      </c>
      <c r="CC27" s="263" cm="1">
        <f t="array" ref="CC27">IF($BT27=0,0,IF(NOT(ISERROR(FIND("-",BZ27))),
VALUE(RIGHT($BZ27,LEN($BZ27)-IF(LEN($BZ27)-LEN(SUBSTITUTE($BZ27,"-",""))=1,FIND("-",$BZ27),FIND("-",$BZ27,FIND("-",$BZ27)+1)))),
IF($BZ27&gt;0,0,INDEX($CC$1:$CC27,MAX(1,$CD27)))))</f>
        <v>0</v>
      </c>
      <c r="CD27" s="376">
        <f>MATCH(0,$CE$1:$CE27,-1)</f>
        <v>26</v>
      </c>
      <c r="CE27" s="263"/>
      <c r="CF27" s="377"/>
      <c r="CG27" s="376" cm="1">
        <f t="array" ref="CG27">INDEX($CG$1:$CG27,$CD27)</f>
        <v>5</v>
      </c>
      <c r="CH27" s="263">
        <f>MATCH($CA27,Premises!$A$10:$F$10,0)</f>
        <v>4</v>
      </c>
      <c r="CI27" s="263">
        <f>IF(ISBLANK($E27),0,IFERROR(MATCH($E27,MHR[Bezeichnung],0),0))</f>
        <v>0</v>
      </c>
      <c r="CJ27" s="377">
        <f>IF(ISBLANK($AQ27),0,IFERROR(MATCH($AQ27,MAT[Bezeichnung],0),0))</f>
        <v>1</v>
      </c>
      <c r="CK27" s="263" cm="1">
        <f t="array" ref="CK27">INDEX($D$1:$D27,$CD27)</f>
        <v>1</v>
      </c>
      <c r="CL27" s="263"/>
      <c r="CM27" s="378"/>
      <c r="CN27" s="379" cm="1">
        <f t="array" ref="CN27">IF($CB27=0,0,IF($CB27=INDEX($CB$1:$CB27,$CD27),INDEX($CN$1:$CN27,$CD27),$CP27))</f>
        <v>0</v>
      </c>
      <c r="CO27" s="378"/>
      <c r="CP27" s="379" cm="1">
        <f t="array" ref="CP27">IF($CC27=0,0,INDEX($CP$1:$CP27,$CD27))</f>
        <v>0</v>
      </c>
      <c r="CQ27" s="380"/>
      <c r="CR27" s="381"/>
      <c r="CS27" s="381"/>
      <c r="CT27" s="948"/>
      <c r="CU27" s="2"/>
      <c r="CV27" s="630">
        <f t="shared" ref="CV27:CV37" si="72">$J27*$CK27</f>
        <v>0</v>
      </c>
      <c r="CW27" s="631">
        <f t="shared" ref="CW27:CW37" si="73">$R27*$CK27</f>
        <v>0</v>
      </c>
      <c r="CX27" s="631">
        <f t="shared" ref="CX27:CX37" si="74">$V27*$CK27</f>
        <v>0</v>
      </c>
      <c r="CY27" s="631">
        <f t="shared" ref="CY27:CY37" si="75">$AA27*$CK27</f>
        <v>0</v>
      </c>
      <c r="CZ27" s="631">
        <f t="shared" ref="CZ27:CZ37" si="76">$AF27*$CK27</f>
        <v>0</v>
      </c>
      <c r="DA27" s="631">
        <f t="shared" ref="DA27:DA37" si="77">$AL27*$CK27</f>
        <v>0</v>
      </c>
      <c r="DB27" s="631">
        <f t="shared" ref="DB27:DB37" si="78">$AO27*$CK27</f>
        <v>0</v>
      </c>
      <c r="DC27" s="632">
        <f t="shared" ref="DC27:DC37" si="79">$AP27*$CK27</f>
        <v>0</v>
      </c>
      <c r="DD27" s="631">
        <f t="shared" ref="DD27:DD37" si="80">$AU27*$CK27</f>
        <v>4.7198357810215521</v>
      </c>
      <c r="DE27" s="631">
        <f t="shared" ref="DE27:DE37" si="81">$AX27*$CK27</f>
        <v>4.7198357810215523E-2</v>
      </c>
      <c r="DF27" s="631">
        <f t="shared" ref="DF27:DF37" si="82">$AZ27*$CK27</f>
        <v>1.9757452207028906E-2</v>
      </c>
      <c r="DG27" s="632">
        <f t="shared" ref="DG27:DG37" si="83">$BA27*$CK27</f>
        <v>4.7867915910387957</v>
      </c>
      <c r="DH27" s="632">
        <f t="shared" ref="DH27:DH37" si="84">$BB27*$CK27</f>
        <v>4.7867915910387957</v>
      </c>
      <c r="DI27" s="631">
        <f t="shared" ref="DI27:DI37" si="85">$BD27*$CK27</f>
        <v>0</v>
      </c>
      <c r="DJ27" s="631">
        <f t="shared" ref="DJ27:DJ37" si="86">$BF27*$CK27</f>
        <v>0</v>
      </c>
      <c r="DK27" s="631">
        <f t="shared" ref="DK27:DK37" si="87">$BH27*$CK27</f>
        <v>0.47867915910387959</v>
      </c>
      <c r="DL27" s="631">
        <f t="shared" ref="DL27:DL37" si="88">$BK27*$CK27</f>
        <v>0</v>
      </c>
      <c r="DM27" s="631">
        <f t="shared" ref="DM27:DM37" si="89">$BM27*$CK27</f>
        <v>0</v>
      </c>
      <c r="DN27" s="631">
        <f t="shared" ref="DN27:DN37" si="90">$BO27*$CK27</f>
        <v>0.28319014686129312</v>
      </c>
      <c r="DO27" s="631">
        <f t="shared" ref="DO27:DO37" si="91">$BR27*$CK27</f>
        <v>0</v>
      </c>
      <c r="DP27" s="634">
        <f t="shared" ref="DP27:DP37" si="92">$CK27*($BB27+$BD27+$BF27+$BH27+$BK27+$BM27+$BO27+$BR27)</f>
        <v>5.5486608970039688</v>
      </c>
      <c r="DQ27" s="929">
        <f>IF($CB27=0,0,$DP27*_xlfn.XLOOKUP($CB27,Premises!$A$10:$F$10,Premises!$A$30:$F$30)/100)</f>
        <v>0</v>
      </c>
      <c r="DR27" s="633">
        <f>IFERROR(SUM($DP27:$DQ27)*IF(INDEX(Premises!$A$42:$F$42,1,MATCH($CB27,Premises!$A$10:$F$10,0))&gt;0,INDEX(Premises!$A$42:$F$42,1,MATCH($CB27,Premises!$A$10:$F$10,0))%,$CN27),0)</f>
        <v>0</v>
      </c>
      <c r="DS27" s="633" cm="1">
        <f t="array" ref="DS27">IF($CB27=0,0,SUM($DP27:$DR27)*_xlfn.XLOOKUP($CB27,Premises!$A$10:$F$10,IF(INDEX(Settings[],MATCH(3001,Settings[ID],0),2)="B",Premises!$A$33:$F$33,Premises!$A$31:$F$31))/100)</f>
        <v>0</v>
      </c>
      <c r="DT27" s="633" cm="1">
        <f t="array" ref="DT27">IF($CB27=0,0,$DP27*_xlfn.XLOOKUP($CB27,Premises!$A$10:$F$10,IF(INDEX(Settings[],MATCH(3002,Settings[ID],0),2)="B",Premises!$A$36:$F$36,Premises!$A$34:$F$34))/100)</f>
        <v>0</v>
      </c>
      <c r="DU27" s="633">
        <f>IF($CB27=0,0,SUM($DP27:$DT27)*_xlfn.XLOOKUP($CB27,Premises!$A$10:$F$10,Premises!$A$37:$F$37)/100)</f>
        <v>0</v>
      </c>
      <c r="DV27" s="932">
        <f t="shared" ref="DV27:DV37" si="93">SUM($DP27:$DU27)</f>
        <v>5.5486608970039688</v>
      </c>
      <c r="DW27" s="929">
        <f>IF($CC27=0,0,$DV27*_xlfn.XLOOKUP($CC27,Premises!$A$10:$F$10,Premises!$A$30:$F$30)/100)</f>
        <v>0</v>
      </c>
      <c r="DX27" s="633">
        <f>IFERROR(SUM($DV27:$DW27)*IF(INDEX(Premises!$A$42:$F$42,1,MATCH($CC27,Premises!$A$10:$F$10,0))&gt;0,INDEX(Premises!$A$42:$F$42,1,MATCH($CC27,Premises!$A$10:$F$10,0))%,$CP27),0)</f>
        <v>0</v>
      </c>
      <c r="DY27" s="633" cm="1">
        <f t="array" ref="DY27">IF($CC27=0,0,SUM($DV27:$DX27)*_xlfn.XLOOKUP($CC27,Premises!$A$10:$F$10,IF(INDEX(Settings[],MATCH(3001,Settings[ID],0),2)="B",Premises!$A$33:$F$33,Premises!$A$31:$F$31))/100)</f>
        <v>0</v>
      </c>
      <c r="DZ27" s="633" cm="1">
        <f t="array" ref="DZ27">IF($CC27=0,0,$DV27*_xlfn.XLOOKUP($CC27,Premises!$A$10:$F$10,IF(INDEX(Settings[],MATCH(3002,Settings[ID],0),2)="B",Premises!$A$36:$F$36,Premises!$A$34:$F$34))/100)</f>
        <v>0</v>
      </c>
      <c r="EA27" s="633">
        <f>IF($CC27=0,0,SUM($DV27:$DZ27)*_xlfn.XLOOKUP($CC27,Premises!$A$10:$F$10,Premises!$A$37:$F$37)/100)</f>
        <v>0</v>
      </c>
      <c r="EB27" s="634">
        <f t="shared" ref="EB27:EB37" si="94">SUM($DV27:$EA27)</f>
        <v>5.5486608970039688</v>
      </c>
      <c r="EC27" s="783"/>
      <c r="ED27" s="1082"/>
      <c r="EE27" s="633"/>
      <c r="EF27" s="1088"/>
      <c r="EG27" s="1086"/>
      <c r="EH27" s="1086"/>
      <c r="EI27" s="1086"/>
      <c r="EJ27" s="1086"/>
      <c r="EK27" s="1086"/>
      <c r="EL27" s="1086"/>
      <c r="EM27" s="1088"/>
      <c r="EN27" s="1086"/>
      <c r="EO27" s="1086"/>
      <c r="EP27" s="1086"/>
      <c r="EQ27" s="1086"/>
      <c r="ER27" s="1088"/>
      <c r="ES27" s="1086"/>
      <c r="ET27" s="1086"/>
      <c r="EU27" s="1086"/>
      <c r="EV27" s="1086"/>
      <c r="EW27" s="1086"/>
      <c r="EX27" s="1089"/>
      <c r="EY27" s="2"/>
      <c r="EZ27" s="2"/>
      <c r="FA27" s="2"/>
      <c r="FB27" s="2"/>
      <c r="FC27" s="2"/>
      <c r="FD27" s="2"/>
      <c r="FE27" s="2"/>
      <c r="FF27" s="2"/>
      <c r="FG27" s="2"/>
      <c r="FH27" s="2"/>
      <c r="FI27" s="2"/>
      <c r="FJ27" s="403"/>
      <c r="FK27" s="404"/>
      <c r="FL27" s="405"/>
      <c r="FM27" s="948"/>
    </row>
    <row r="28" spans="1:169" s="13" customFormat="1" ht="12.75" customHeight="1">
      <c r="A28" s="215"/>
      <c r="B28" s="385"/>
      <c r="C28" s="386"/>
      <c r="D28" s="629"/>
      <c r="E28" s="387"/>
      <c r="F28" s="388"/>
      <c r="G28" s="388"/>
      <c r="H28" s="388"/>
      <c r="I28" s="620" cm="1">
        <f t="array" ref="I28">IF($CI28=0,0,IFERROR(INDEX(MHR[],$CI28,MATCH($CA28,MHR!$B$4:$AY$4,0)),0))</f>
        <v>0</v>
      </c>
      <c r="J28" s="617">
        <f t="shared" si="48"/>
        <v>0</v>
      </c>
      <c r="K28" s="389"/>
      <c r="L28" s="390"/>
      <c r="M28" s="849"/>
      <c r="N28" s="390"/>
      <c r="O28" s="388"/>
      <c r="P28" s="628" cm="1">
        <f t="array" ref="P28">IF($K28=0,0,IFERROR(ROUNDUP(IF(ISNUMBER($K28),$K28,INDEX($D$1:$D28,$CD28)*INDEX(Premises!$A$13:$F$13,1,$CH28)/IF(OR($K28="T",$K28="D"),250,IF($K28="W",50,IF($K28="M",12,IF(OR($K28="HJ",$K28="HY"),2,IF(OR($K28="J",$K28="Y"),1,0)))))),0),0))</f>
        <v>0</v>
      </c>
      <c r="Q28" s="620" cm="1">
        <f t="array" ref="Q28">IF($K28=0,0,IFERROR(INDEX(Premises!$A$22:$F$22,1,$CH28)*100/INDEX(Premises!$A$16:$F$16,1,$CH28),0))</f>
        <v>0</v>
      </c>
      <c r="R28" s="617">
        <f>IF($P28=0,0,IFERROR(($L28/60*($I28+$Q28*$M28)+($N28/60*($Q28*$O28)))/$P28,0))</f>
        <v>0</v>
      </c>
      <c r="S28" s="391"/>
      <c r="T28" s="392"/>
      <c r="U28" s="620" cm="1">
        <f t="array" ref="U28">IF(COUNTBLANK($S28:$T28),0,
IF(AND(INDEX(MHR[Schichtmodell],$CI28)&lt;&gt;0,INDEX(MHR[Schichtmodell],$CI28)&lt;&gt;INDEX(Premises!$A$20:$F$20,1,$CH28)),ExchangeRate*
IF(OR($T28="M",$T28="U"),IF(INDEX(MHR[Schichtmodell],$CI28)=1,INDEX(LOC[M1S],INDEX(Premises!$A$18:$F$18,1,$CH28+1)),IF(INDEX(MHR[Schichtmodell],$CI28)=2,INDEX(LOC[M2S],INDEX(Premises!$A$18:$F$18,1,$CH28+1),IF(INDEX(MHR[Schichtmodell],$CI28)=3,INDEX(LOC[M3S],INDEX(Premises!$A$18:$F$18,1,$CH28+1)),0)))),
IF(INDEX(MHR[Schichtmodell],$CI28)=1,INDEX(LOC[F1S],INDEX(Premises!$A$18:$F$18,1,$CH28+1)),IF(INDEX(MHR[Schichtmodell],$CI28)=2,INDEX(LOC[F2S],INDEX(Premises!$A$18:$F$18,1,$CH28+1)),IF(INDEX(MHR[Schichtmodell],$CI28)=3,INDEX(LOC[F3S],INDEX(Premises!$A$18:$F$18,1,$CH28+1)),0)))),
IF(OR($T28="M",$T28="U"),INDEX(Premises!$A$21:$F$21,1,$CH28),
IF(OR($T28="F",$T28="S"),INDEX(Premises!$A$22:$F$22,1,$CH28),0)))*100/INDEX(Premises!$A$16:$F$16,1,$CH28))</f>
        <v>0</v>
      </c>
      <c r="V28" s="614">
        <f t="shared" si="49"/>
        <v>0</v>
      </c>
      <c r="W28" s="393"/>
      <c r="X28" s="386"/>
      <c r="Y28" s="394"/>
      <c r="Z28" s="395"/>
      <c r="AA28" s="611">
        <f t="shared" si="50"/>
        <v>0</v>
      </c>
      <c r="AB28" s="393"/>
      <c r="AC28" s="386"/>
      <c r="AD28" s="394"/>
      <c r="AE28" s="396"/>
      <c r="AF28" s="611">
        <f t="shared" si="51"/>
        <v>0</v>
      </c>
      <c r="AG28" s="612" cm="1">
        <f t="array" ref="AG28">IF(($J28+$V28+$AF28)=0,0,INDEX(Premises!$A$30:$F$30,1,$CH28)/100)</f>
        <v>0</v>
      </c>
      <c r="AH28" s="397"/>
      <c r="AI28" s="398"/>
      <c r="AJ28" s="399"/>
      <c r="AK28" s="613">
        <f t="shared" si="52"/>
        <v>0</v>
      </c>
      <c r="AL28" s="614">
        <f t="shared" si="53"/>
        <v>0</v>
      </c>
      <c r="AM28" s="615" cm="1">
        <f t="array" ref="AM28">IF($CI28=0,0,IFERROR(INDEX(MHR[],$CI28,MATCH($CA28,MHR!$B$4:$AY$4,0)+11),0))</f>
        <v>0</v>
      </c>
      <c r="AN28" s="616" cm="1">
        <f t="array" ref="AN28">IF(($J28+$V28)=0,0,IFERROR(IF(INDEX(Premises!$A$41:$F$41,1,$CH28)&lt;&gt;0,INDEX(Premises!$A$41:$F$41,1,$CH28)/100,(IFERROR(($J28/$I28)*$AM28,0)/($V28+$J28+$R28+$AL28))),0))</f>
        <v>0</v>
      </c>
      <c r="AO28" s="617">
        <f t="shared" si="54"/>
        <v>0</v>
      </c>
      <c r="AP28" s="618">
        <f t="shared" si="55"/>
        <v>0</v>
      </c>
      <c r="AQ28" s="393"/>
      <c r="AR28" s="392"/>
      <c r="AS28" s="619" cm="1">
        <f t="array" ref="AS28">IF($CJ28=0,0,IFERROR(INDEX(MAT[Einheit],$CJ28,1),0))</f>
        <v>0</v>
      </c>
      <c r="AT28" s="620" cm="1">
        <f t="array" ref="AT28">IF($CJ28=0,0,IFERROR(INDEX(MAT[Preis],$CJ28,1),0))</f>
        <v>0</v>
      </c>
      <c r="AU28" s="621">
        <f t="shared" si="56"/>
        <v>0</v>
      </c>
      <c r="AV28" s="622" cm="1">
        <f t="array" ref="AV28">IF($AU28&lt;=0,0,INDEX(Premises!$A$30:$F$30,1,$CH28)/100)</f>
        <v>0</v>
      </c>
      <c r="AW28" s="392"/>
      <c r="AX28" s="614">
        <f t="shared" si="57"/>
        <v>0</v>
      </c>
      <c r="AY28" s="623" cm="1">
        <f t="array" ref="AY28">IF($AT28&lt;=0,0,IFERROR(IF(INDEX(Premises!$A$42:$F$42,1,$CH28)&lt;&gt;0,INDEX(Premises!$A$42:$F$42,1,$CH28)/100,(INDEX(MAT[],$CJ28,MATCH($CA28,MAT!$B$4:$AE$4,0))/($AR28*$CK28*INDEX(Premises!$A$13:$F$13,1,$CH28))+INDEX(MAT[],$CJ28,MATCH($CA28,MAT!$B$4:$AE$4,0)+7))/$AT28),0))</f>
        <v>0</v>
      </c>
      <c r="AZ28" s="614">
        <f t="shared" si="58"/>
        <v>0</v>
      </c>
      <c r="BA28" s="618">
        <f t="shared" si="59"/>
        <v>0</v>
      </c>
      <c r="BB28" s="618">
        <f t="shared" si="60"/>
        <v>0</v>
      </c>
      <c r="BC28" s="622" cm="1">
        <f t="array" ref="BC28">IF($BB28&lt;=0,0,IF(BC$2=-1,0,INDEX(Premises!$A$32:$F$32,1,$CH28)/100))</f>
        <v>0</v>
      </c>
      <c r="BD28" s="614">
        <f t="shared" si="61"/>
        <v>0</v>
      </c>
      <c r="BE28" s="622" cm="1">
        <f t="array" ref="BE28">IF($BB28&lt;=0,0,IF(BE$2=-1,0,INDEX(Premises!$A$33:$F$33,1,$CH28)/100))</f>
        <v>0</v>
      </c>
      <c r="BF28" s="614">
        <f t="shared" si="62"/>
        <v>0</v>
      </c>
      <c r="BG28" s="622" cm="1">
        <f t="array" ref="BG28">IF($BB28&lt;=0,0,IF(BG$2=-1,0,INDEX(Premises!$A$31:$F$31,1,$CH28)/100))</f>
        <v>0</v>
      </c>
      <c r="BH28" s="614">
        <f t="shared" si="63"/>
        <v>0</v>
      </c>
      <c r="BI28" s="618">
        <f t="shared" si="64"/>
        <v>0</v>
      </c>
      <c r="BJ28" s="622" cm="1">
        <f t="array" ref="BJ28">IF($BB28&lt;=0,0,IF(BJ$2=-1,0,INDEX(Premises!$A$35:$F$35,1,$CH28)/100))</f>
        <v>0</v>
      </c>
      <c r="BK28" s="614">
        <f t="shared" si="65"/>
        <v>0</v>
      </c>
      <c r="BL28" s="622" cm="1">
        <f t="array" ref="BL28">IF($BB28&lt;=0,0,IF(BL$2=-1,0,INDEX(Premises!$A$36:$F$36,1,$CH28)/100))</f>
        <v>0</v>
      </c>
      <c r="BM28" s="614">
        <f t="shared" si="66"/>
        <v>0</v>
      </c>
      <c r="BN28" s="622" cm="1">
        <f t="array" ref="BN28">IF($BB28&lt;=0,0,IF(BN$2=-1,0,INDEX(Premises!$A$34:$F$34,1,$CH28)/100))</f>
        <v>0</v>
      </c>
      <c r="BO28" s="614">
        <f t="shared" si="67"/>
        <v>0</v>
      </c>
      <c r="BP28" s="622" cm="1">
        <f t="array" ref="BP28">IF($BI28=0,0,INDEX(Premises!$A$37:$F$37,1,$CH28)/100)</f>
        <v>0</v>
      </c>
      <c r="BQ28" s="392"/>
      <c r="BR28" s="614">
        <f t="shared" si="68"/>
        <v>0</v>
      </c>
      <c r="BS28" s="624">
        <f t="shared" si="69"/>
        <v>0</v>
      </c>
      <c r="BT28" s="624">
        <f t="shared" si="70"/>
        <v>0</v>
      </c>
      <c r="BU28" s="625">
        <f t="shared" si="71"/>
        <v>0</v>
      </c>
      <c r="BV28" s="400"/>
      <c r="BW28" s="401"/>
      <c r="BX28" s="401"/>
      <c r="BY28" s="402"/>
      <c r="BZ28" s="946"/>
      <c r="CA28" s="263" cm="1">
        <f t="array" ref="CA28">IF($BZ28&gt;0,VALUE(LEFT($BZ28,IF(ISERROR(FIND("-",$BZ28)),LEN($BZ28),FIND("-",$BZ28)-1))),INDEX($CA$1:$CA28,MAX(1,$CD28)))</f>
        <v>1</v>
      </c>
      <c r="CB28" s="263" cm="1">
        <f t="array" ref="CB28">IF($BT28=0,0,IF(LEN($BZ28)-LEN(SUBSTITUTE($BZ28,"-",""))&gt;1,
VALUE(MID($BZ28,FIND("-",$BZ28)+1,FIND("-",$BZ28,FIND("-",$BZ28)+1)-FIND("-",$BZ28)-1)),IF($BZ28&gt;0,0,INDEX($CB$1:$CB28,MAX(1,$CD28)))))</f>
        <v>0</v>
      </c>
      <c r="CC28" s="263" cm="1">
        <f t="array" ref="CC28">IF($BT28=0,0,IF(NOT(ISERROR(FIND("-",BZ28))),
VALUE(RIGHT($BZ28,LEN($BZ28)-IF(LEN($BZ28)-LEN(SUBSTITUTE($BZ28,"-",""))=1,FIND("-",$BZ28),FIND("-",$BZ28,FIND("-",$BZ28)+1)))),
IF($BZ28&gt;0,0,INDEX($CC$1:$CC28,MAX(1,$CD28)))))</f>
        <v>0</v>
      </c>
      <c r="CD28" s="376">
        <f>MATCH(0,$CE$1:$CE28,-1)</f>
        <v>26</v>
      </c>
      <c r="CE28" s="263"/>
      <c r="CF28" s="377"/>
      <c r="CG28" s="376" cm="1">
        <f t="array" ref="CG28">INDEX($CG$1:$CG28,$CD28)</f>
        <v>5</v>
      </c>
      <c r="CH28" s="263">
        <f>MATCH($CA28,Premises!$A$10:$F$10,0)</f>
        <v>4</v>
      </c>
      <c r="CI28" s="263">
        <f>IF(ISBLANK($E28),0,IFERROR(MATCH($E28,MHR[Bezeichnung],0),0))</f>
        <v>0</v>
      </c>
      <c r="CJ28" s="377">
        <f>IF(ISBLANK($AQ28),0,IFERROR(MATCH($AQ28,MAT[Bezeichnung],0),0))</f>
        <v>0</v>
      </c>
      <c r="CK28" s="263" cm="1">
        <f t="array" ref="CK28">INDEX($D$1:$D28,$CD28)</f>
        <v>1</v>
      </c>
      <c r="CL28" s="263"/>
      <c r="CM28" s="378"/>
      <c r="CN28" s="379" cm="1">
        <f t="array" ref="CN28">IF($CB28=0,0,IF($CB28=INDEX($CB$1:$CB28,$CD28),INDEX($CN$1:$CN28,$CD28),$CP28))</f>
        <v>0</v>
      </c>
      <c r="CO28" s="378"/>
      <c r="CP28" s="379" cm="1">
        <f t="array" ref="CP28">IF($CC28=0,0,INDEX($CP$1:$CP28,$CD28))</f>
        <v>0</v>
      </c>
      <c r="CQ28" s="380"/>
      <c r="CR28" s="381"/>
      <c r="CS28" s="381"/>
      <c r="CT28" s="948"/>
      <c r="CU28" s="2"/>
      <c r="CV28" s="630">
        <f t="shared" si="72"/>
        <v>0</v>
      </c>
      <c r="CW28" s="631">
        <f t="shared" si="73"/>
        <v>0</v>
      </c>
      <c r="CX28" s="631">
        <f t="shared" si="74"/>
        <v>0</v>
      </c>
      <c r="CY28" s="631">
        <f t="shared" si="75"/>
        <v>0</v>
      </c>
      <c r="CZ28" s="631">
        <f t="shared" si="76"/>
        <v>0</v>
      </c>
      <c r="DA28" s="631">
        <f t="shared" si="77"/>
        <v>0</v>
      </c>
      <c r="DB28" s="631">
        <f t="shared" si="78"/>
        <v>0</v>
      </c>
      <c r="DC28" s="632">
        <f t="shared" si="79"/>
        <v>0</v>
      </c>
      <c r="DD28" s="631">
        <f t="shared" si="80"/>
        <v>0</v>
      </c>
      <c r="DE28" s="631">
        <f t="shared" si="81"/>
        <v>0</v>
      </c>
      <c r="DF28" s="631">
        <f t="shared" si="82"/>
        <v>0</v>
      </c>
      <c r="DG28" s="632">
        <f t="shared" si="83"/>
        <v>0</v>
      </c>
      <c r="DH28" s="632">
        <f t="shared" si="84"/>
        <v>0</v>
      </c>
      <c r="DI28" s="631">
        <f t="shared" si="85"/>
        <v>0</v>
      </c>
      <c r="DJ28" s="631">
        <f t="shared" si="86"/>
        <v>0</v>
      </c>
      <c r="DK28" s="631">
        <f t="shared" si="87"/>
        <v>0</v>
      </c>
      <c r="DL28" s="631">
        <f t="shared" si="88"/>
        <v>0</v>
      </c>
      <c r="DM28" s="631">
        <f t="shared" si="89"/>
        <v>0</v>
      </c>
      <c r="DN28" s="631">
        <f t="shared" si="90"/>
        <v>0</v>
      </c>
      <c r="DO28" s="631">
        <f t="shared" si="91"/>
        <v>0</v>
      </c>
      <c r="DP28" s="634">
        <f t="shared" si="92"/>
        <v>0</v>
      </c>
      <c r="DQ28" s="929">
        <f>IF($CB28=0,0,$DP28*_xlfn.XLOOKUP($CB28,Premises!$A$10:$F$10,Premises!$A$30:$F$30)/100)</f>
        <v>0</v>
      </c>
      <c r="DR28" s="633">
        <f>IFERROR(SUM($DP28:$DQ28)*IF(INDEX(Premises!$A$42:$F$42,1,MATCH($CB28,Premises!$A$10:$F$10,0))&gt;0,INDEX(Premises!$A$42:$F$42,1,MATCH($CB28,Premises!$A$10:$F$10,0))%,$CN28),0)</f>
        <v>0</v>
      </c>
      <c r="DS28" s="633" cm="1">
        <f t="array" ref="DS28">IF($CB28=0,0,SUM($DP28:$DR28)*_xlfn.XLOOKUP($CB28,Premises!$A$10:$F$10,IF(INDEX(Settings[],MATCH(3001,Settings[ID],0),2)="B",Premises!$A$33:$F$33,Premises!$A$31:$F$31))/100)</f>
        <v>0</v>
      </c>
      <c r="DT28" s="633" cm="1">
        <f t="array" ref="DT28">IF($CB28=0,0,$DP28*_xlfn.XLOOKUP($CB28,Premises!$A$10:$F$10,IF(INDEX(Settings[],MATCH(3002,Settings[ID],0),2)="B",Premises!$A$36:$F$36,Premises!$A$34:$F$34))/100)</f>
        <v>0</v>
      </c>
      <c r="DU28" s="633">
        <f>IF($CB28=0,0,SUM($DP28:$DT28)*_xlfn.XLOOKUP($CB28,Premises!$A$10:$F$10,Premises!$A$37:$F$37)/100)</f>
        <v>0</v>
      </c>
      <c r="DV28" s="932">
        <f t="shared" si="93"/>
        <v>0</v>
      </c>
      <c r="DW28" s="929">
        <f>IF($CC28=0,0,$DV28*_xlfn.XLOOKUP($CC28,Premises!$A$10:$F$10,Premises!$A$30:$F$30)/100)</f>
        <v>0</v>
      </c>
      <c r="DX28" s="633">
        <f>IFERROR(SUM($DV28:$DW28)*IF(INDEX(Premises!$A$42:$F$42,1,MATCH($CC28,Premises!$A$10:$F$10,0))&gt;0,INDEX(Premises!$A$42:$F$42,1,MATCH($CC28,Premises!$A$10:$F$10,0))%,$CP28),0)</f>
        <v>0</v>
      </c>
      <c r="DY28" s="633" cm="1">
        <f t="array" ref="DY28">IF($CC28=0,0,SUM($DV28:$DX28)*_xlfn.XLOOKUP($CC28,Premises!$A$10:$F$10,IF(INDEX(Settings[],MATCH(3001,Settings[ID],0),2)="B",Premises!$A$33:$F$33,Premises!$A$31:$F$31))/100)</f>
        <v>0</v>
      </c>
      <c r="DZ28" s="633" cm="1">
        <f t="array" ref="DZ28">IF($CC28=0,0,$DV28*_xlfn.XLOOKUP($CC28,Premises!$A$10:$F$10,IF(INDEX(Settings[],MATCH(3002,Settings[ID],0),2)="B",Premises!$A$36:$F$36,Premises!$A$34:$F$34))/100)</f>
        <v>0</v>
      </c>
      <c r="EA28" s="633">
        <f>IF($CC28=0,0,SUM($DV28:$DZ28)*_xlfn.XLOOKUP($CC28,Premises!$A$10:$F$10,Premises!$A$37:$F$37)/100)</f>
        <v>0</v>
      </c>
      <c r="EB28" s="634">
        <f t="shared" si="94"/>
        <v>0</v>
      </c>
      <c r="EC28" s="783"/>
      <c r="ED28" s="1082"/>
      <c r="EE28" s="633"/>
      <c r="EF28" s="1088"/>
      <c r="EG28" s="1086"/>
      <c r="EH28" s="1086"/>
      <c r="EI28" s="1086"/>
      <c r="EJ28" s="1086"/>
      <c r="EK28" s="1086"/>
      <c r="EL28" s="1086"/>
      <c r="EM28" s="1088"/>
      <c r="EN28" s="1086"/>
      <c r="EO28" s="1086"/>
      <c r="EP28" s="1086"/>
      <c r="EQ28" s="1086"/>
      <c r="ER28" s="1088"/>
      <c r="ES28" s="1086"/>
      <c r="ET28" s="1086"/>
      <c r="EU28" s="1086"/>
      <c r="EV28" s="1086"/>
      <c r="EW28" s="1086"/>
      <c r="EX28" s="1089"/>
      <c r="EY28" s="2"/>
      <c r="EZ28" s="2"/>
      <c r="FA28" s="2"/>
      <c r="FB28" s="2"/>
      <c r="FC28" s="2"/>
      <c r="FD28" s="2"/>
      <c r="FE28" s="2"/>
      <c r="FF28" s="2"/>
      <c r="FG28" s="2"/>
      <c r="FH28" s="2"/>
      <c r="FI28" s="2"/>
      <c r="FJ28" s="403"/>
      <c r="FK28" s="404"/>
      <c r="FL28" s="405"/>
      <c r="FM28" s="948"/>
    </row>
    <row r="29" spans="1:169" s="13" customFormat="1" ht="12.75" customHeight="1">
      <c r="A29" s="215"/>
      <c r="B29" s="385"/>
      <c r="C29" s="386"/>
      <c r="D29" s="629"/>
      <c r="E29" s="387"/>
      <c r="F29" s="388"/>
      <c r="G29" s="388"/>
      <c r="H29" s="388"/>
      <c r="I29" s="620" cm="1">
        <f t="array" ref="I29">IF($CI29=0,0,IFERROR(INDEX(MHR[],$CI29,MATCH($CA29,MHR!$B$4:$AY$4,0)),0))</f>
        <v>0</v>
      </c>
      <c r="J29" s="617">
        <f t="shared" si="48"/>
        <v>0</v>
      </c>
      <c r="K29" s="389"/>
      <c r="L29" s="390"/>
      <c r="M29" s="849"/>
      <c r="N29" s="390"/>
      <c r="O29" s="388"/>
      <c r="P29" s="628" cm="1">
        <f t="array" ref="P29">IF($K29=0,0,IFERROR(ROUNDUP(IF(ISNUMBER($K29),$K29,INDEX($D$1:$D29,$CD29)*INDEX(Premises!$A$13:$F$13,1,$CH29)/IF(OR($K29="T",$K29="D"),250,IF($K29="W",50,IF($K29="M",12,IF(OR($K29="HJ",$K29="HY"),2,IF(OR($K29="J",$K29="Y"),1,0)))))),0),0))</f>
        <v>0</v>
      </c>
      <c r="Q29" s="620" cm="1">
        <f t="array" ref="Q29">IF($K29=0,0,IFERROR(INDEX(Premises!$A$22:$F$22,1,$CH29)*100/INDEX(Premises!$A$16:$F$16,1,$CH29),0))</f>
        <v>0</v>
      </c>
      <c r="R29" s="617">
        <f>IF($P29=0,0,IFERROR(($L29/60*($I29+$Q29*$M29)+($N29/60*($Q29*$O29)))/$P29,0))</f>
        <v>0</v>
      </c>
      <c r="S29" s="391"/>
      <c r="T29" s="392"/>
      <c r="U29" s="620" cm="1">
        <f t="array" ref="U29">IF(COUNTBLANK($S29:$T29),0,
IF(AND(INDEX(MHR[Schichtmodell],$CI29)&lt;&gt;0,INDEX(MHR[Schichtmodell],$CI29)&lt;&gt;INDEX(Premises!$A$20:$F$20,1,$CH29)),ExchangeRate*
IF(OR($T29="M",$T29="U"),IF(INDEX(MHR[Schichtmodell],$CI29)=1,INDEX(LOC[M1S],INDEX(Premises!$A$18:$F$18,1,$CH29+1)),IF(INDEX(MHR[Schichtmodell],$CI29)=2,INDEX(LOC[M2S],INDEX(Premises!$A$18:$F$18,1,$CH29+1),IF(INDEX(MHR[Schichtmodell],$CI29)=3,INDEX(LOC[M3S],INDEX(Premises!$A$18:$F$18,1,$CH29+1)),0)))),
IF(INDEX(MHR[Schichtmodell],$CI29)=1,INDEX(LOC[F1S],INDEX(Premises!$A$18:$F$18,1,$CH29+1)),IF(INDEX(MHR[Schichtmodell],$CI29)=2,INDEX(LOC[F2S],INDEX(Premises!$A$18:$F$18,1,$CH29+1)),IF(INDEX(MHR[Schichtmodell],$CI29)=3,INDEX(LOC[F3S],INDEX(Premises!$A$18:$F$18,1,$CH29+1)),0)))),
IF(OR($T29="M",$T29="U"),INDEX(Premises!$A$21:$F$21,1,$CH29),
IF(OR($T29="F",$T29="S"),INDEX(Premises!$A$22:$F$22,1,$CH29),0)))*100/INDEX(Premises!$A$16:$F$16,1,$CH29))</f>
        <v>0</v>
      </c>
      <c r="V29" s="614">
        <f t="shared" si="49"/>
        <v>0</v>
      </c>
      <c r="W29" s="393"/>
      <c r="X29" s="386"/>
      <c r="Y29" s="394"/>
      <c r="Z29" s="395"/>
      <c r="AA29" s="611">
        <f t="shared" si="50"/>
        <v>0</v>
      </c>
      <c r="AB29" s="393"/>
      <c r="AC29" s="386"/>
      <c r="AD29" s="394"/>
      <c r="AE29" s="396"/>
      <c r="AF29" s="611">
        <f t="shared" si="51"/>
        <v>0</v>
      </c>
      <c r="AG29" s="612" cm="1">
        <f t="array" ref="AG29">IF(($J29+$V29+$AF29)=0,0,INDEX(Premises!$A$30:$F$30,1,$CH29)/100)</f>
        <v>0</v>
      </c>
      <c r="AH29" s="397"/>
      <c r="AI29" s="398"/>
      <c r="AJ29" s="399"/>
      <c r="AK29" s="613">
        <f t="shared" si="52"/>
        <v>0</v>
      </c>
      <c r="AL29" s="614">
        <f t="shared" si="53"/>
        <v>0</v>
      </c>
      <c r="AM29" s="615" cm="1">
        <f t="array" ref="AM29">IF($CI29=0,0,IFERROR(INDEX(MHR[],$CI29,MATCH($CA29,MHR!$B$4:$AY$4,0)+11),0))</f>
        <v>0</v>
      </c>
      <c r="AN29" s="616" cm="1">
        <f t="array" ref="AN29">IF(($J29+$V29)=0,0,IFERROR(IF(INDEX(Premises!$A$41:$F$41,1,$CH29)&lt;&gt;0,INDEX(Premises!$A$41:$F$41,1,$CH29)/100,(IFERROR(($J29/$I29)*$AM29,0)/($V29+$J29+$R29+$AL29))),0))</f>
        <v>0</v>
      </c>
      <c r="AO29" s="617">
        <f t="shared" si="54"/>
        <v>0</v>
      </c>
      <c r="AP29" s="618">
        <f t="shared" si="55"/>
        <v>0</v>
      </c>
      <c r="AQ29" s="393"/>
      <c r="AR29" s="392"/>
      <c r="AS29" s="619" cm="1">
        <f t="array" ref="AS29">IF($CJ29=0,0,IFERROR(INDEX(MAT[Einheit],$CJ29,1),0))</f>
        <v>0</v>
      </c>
      <c r="AT29" s="620" cm="1">
        <f t="array" ref="AT29">IF($CJ29=0,0,IFERROR(INDEX(MAT[Preis],$CJ29,1),0))</f>
        <v>0</v>
      </c>
      <c r="AU29" s="621">
        <f t="shared" si="56"/>
        <v>0</v>
      </c>
      <c r="AV29" s="622" cm="1">
        <f t="array" ref="AV29">IF($AU29&lt;=0,0,INDEX(Premises!$A$30:$F$30,1,$CH29)/100)</f>
        <v>0</v>
      </c>
      <c r="AW29" s="392"/>
      <c r="AX29" s="614">
        <f t="shared" si="57"/>
        <v>0</v>
      </c>
      <c r="AY29" s="623" cm="1">
        <f t="array" ref="AY29">IF($AT29&lt;=0,0,IFERROR(IF(INDEX(Premises!$A$42:$F$42,1,$CH29)&lt;&gt;0,INDEX(Premises!$A$42:$F$42,1,$CH29)/100,(INDEX(MAT[],$CJ29,MATCH($CA29,MAT!$B$4:$AE$4,0))/($AR29*$CK29*INDEX(Premises!$A$13:$F$13,1,$CH29))+INDEX(MAT[],$CJ29,MATCH($CA29,MAT!$B$4:$AE$4,0)+7))/$AT29),0))</f>
        <v>0</v>
      </c>
      <c r="AZ29" s="614">
        <f t="shared" si="58"/>
        <v>0</v>
      </c>
      <c r="BA29" s="618">
        <f t="shared" si="59"/>
        <v>0</v>
      </c>
      <c r="BB29" s="618">
        <f t="shared" si="60"/>
        <v>0</v>
      </c>
      <c r="BC29" s="622" cm="1">
        <f t="array" ref="BC29">IF($BB29&lt;=0,0,IF(BC$2=-1,0,INDEX(Premises!$A$32:$F$32,1,$CH29)/100))</f>
        <v>0</v>
      </c>
      <c r="BD29" s="614">
        <f t="shared" si="61"/>
        <v>0</v>
      </c>
      <c r="BE29" s="622" cm="1">
        <f t="array" ref="BE29">IF($BB29&lt;=0,0,IF(BE$2=-1,0,INDEX(Premises!$A$33:$F$33,1,$CH29)/100))</f>
        <v>0</v>
      </c>
      <c r="BF29" s="614">
        <f t="shared" si="62"/>
        <v>0</v>
      </c>
      <c r="BG29" s="622" cm="1">
        <f t="array" ref="BG29">IF($BB29&lt;=0,0,IF(BG$2=-1,0,INDEX(Premises!$A$31:$F$31,1,$CH29)/100))</f>
        <v>0</v>
      </c>
      <c r="BH29" s="614">
        <f t="shared" si="63"/>
        <v>0</v>
      </c>
      <c r="BI29" s="618">
        <f t="shared" si="64"/>
        <v>0</v>
      </c>
      <c r="BJ29" s="622" cm="1">
        <f t="array" ref="BJ29">IF($BB29&lt;=0,0,IF(BJ$2=-1,0,INDEX(Premises!$A$35:$F$35,1,$CH29)/100))</f>
        <v>0</v>
      </c>
      <c r="BK29" s="614">
        <f t="shared" si="65"/>
        <v>0</v>
      </c>
      <c r="BL29" s="622" cm="1">
        <f t="array" ref="BL29">IF($BB29&lt;=0,0,IF(BL$2=-1,0,INDEX(Premises!$A$36:$F$36,1,$CH29)/100))</f>
        <v>0</v>
      </c>
      <c r="BM29" s="614">
        <f t="shared" si="66"/>
        <v>0</v>
      </c>
      <c r="BN29" s="622" cm="1">
        <f t="array" ref="BN29">IF($BB29&lt;=0,0,IF(BN$2=-1,0,INDEX(Premises!$A$34:$F$34,1,$CH29)/100))</f>
        <v>0</v>
      </c>
      <c r="BO29" s="614">
        <f t="shared" si="67"/>
        <v>0</v>
      </c>
      <c r="BP29" s="622" cm="1">
        <f t="array" ref="BP29">IF($BI29=0,0,INDEX(Premises!$A$37:$F$37,1,$CH29)/100)</f>
        <v>0</v>
      </c>
      <c r="BQ29" s="392"/>
      <c r="BR29" s="614">
        <f t="shared" si="68"/>
        <v>0</v>
      </c>
      <c r="BS29" s="624">
        <f t="shared" si="69"/>
        <v>0</v>
      </c>
      <c r="BT29" s="624">
        <f t="shared" si="70"/>
        <v>0</v>
      </c>
      <c r="BU29" s="625">
        <f t="shared" si="71"/>
        <v>0</v>
      </c>
      <c r="BV29" s="1127"/>
      <c r="BW29" s="401"/>
      <c r="BX29" s="401"/>
      <c r="BY29" s="402"/>
      <c r="BZ29" s="946"/>
      <c r="CA29" s="263" cm="1">
        <f t="array" ref="CA29">IF($BZ29&gt;0,VALUE(LEFT($BZ29,IF(ISERROR(FIND("-",$BZ29)),LEN($BZ29),FIND("-",$BZ29)-1))),INDEX($CA$1:$CA29,MAX(1,$CD29)))</f>
        <v>1</v>
      </c>
      <c r="CB29" s="263" cm="1">
        <f t="array" ref="CB29">IF($BT29=0,0,IF(LEN($BZ29)-LEN(SUBSTITUTE($BZ29,"-",""))&gt;1,
VALUE(MID($BZ29,FIND("-",$BZ29)+1,FIND("-",$BZ29,FIND("-",$BZ29)+1)-FIND("-",$BZ29)-1)),IF($BZ29&gt;0,0,INDEX($CB$1:$CB29,MAX(1,$CD29)))))</f>
        <v>0</v>
      </c>
      <c r="CC29" s="263" cm="1">
        <f t="array" ref="CC29">IF($BT29=0,0,IF(NOT(ISERROR(FIND("-",BZ29))),
VALUE(RIGHT($BZ29,LEN($BZ29)-IF(LEN($BZ29)-LEN(SUBSTITUTE($BZ29,"-",""))=1,FIND("-",$BZ29),FIND("-",$BZ29,FIND("-",$BZ29)+1)))),
IF($BZ29&gt;0,0,INDEX($CC$1:$CC29,MAX(1,$CD29)))))</f>
        <v>0</v>
      </c>
      <c r="CD29" s="376">
        <f>MATCH(0,$CE$1:$CE29,-1)</f>
        <v>26</v>
      </c>
      <c r="CE29" s="263"/>
      <c r="CF29" s="377"/>
      <c r="CG29" s="376" cm="1">
        <f t="array" ref="CG29">INDEX($CG$1:$CG29,$CD29)</f>
        <v>5</v>
      </c>
      <c r="CH29" s="263">
        <f>MATCH($CA29,Premises!$A$10:$F$10,0)</f>
        <v>4</v>
      </c>
      <c r="CI29" s="263">
        <f>IF(ISBLANK($E29),0,IFERROR(MATCH($E29,MHR[Bezeichnung],0),0))</f>
        <v>0</v>
      </c>
      <c r="CJ29" s="377">
        <f>IF(ISBLANK($AQ29),0,IFERROR(MATCH($AQ29,MAT[Bezeichnung],0),0))</f>
        <v>0</v>
      </c>
      <c r="CK29" s="263" cm="1">
        <f t="array" ref="CK29">INDEX($D$1:$D29,$CD29)</f>
        <v>1</v>
      </c>
      <c r="CL29" s="263"/>
      <c r="CM29" s="378"/>
      <c r="CN29" s="379" cm="1">
        <f t="array" ref="CN29">IF($CB29=0,0,IF($CB29=INDEX($CB$1:$CB29,$CD29),INDEX($CN$1:$CN29,$CD29),$CP29))</f>
        <v>0</v>
      </c>
      <c r="CO29" s="378"/>
      <c r="CP29" s="379" cm="1">
        <f t="array" ref="CP29">IF($CC29=0,0,INDEX($CP$1:$CP29,$CD29))</f>
        <v>0</v>
      </c>
      <c r="CQ29" s="380"/>
      <c r="CR29" s="381"/>
      <c r="CS29" s="381"/>
      <c r="CT29" s="1132"/>
      <c r="CU29" s="1129"/>
      <c r="CV29" s="630">
        <f t="shared" si="72"/>
        <v>0</v>
      </c>
      <c r="CW29" s="631">
        <f t="shared" si="73"/>
        <v>0</v>
      </c>
      <c r="CX29" s="631">
        <f t="shared" si="74"/>
        <v>0</v>
      </c>
      <c r="CY29" s="631">
        <f t="shared" si="75"/>
        <v>0</v>
      </c>
      <c r="CZ29" s="631">
        <f t="shared" si="76"/>
        <v>0</v>
      </c>
      <c r="DA29" s="631">
        <f t="shared" si="77"/>
        <v>0</v>
      </c>
      <c r="DB29" s="631">
        <f t="shared" si="78"/>
        <v>0</v>
      </c>
      <c r="DC29" s="632">
        <f t="shared" si="79"/>
        <v>0</v>
      </c>
      <c r="DD29" s="631">
        <f t="shared" si="80"/>
        <v>0</v>
      </c>
      <c r="DE29" s="631">
        <f t="shared" si="81"/>
        <v>0</v>
      </c>
      <c r="DF29" s="631">
        <f t="shared" si="82"/>
        <v>0</v>
      </c>
      <c r="DG29" s="632">
        <f t="shared" si="83"/>
        <v>0</v>
      </c>
      <c r="DH29" s="632">
        <f t="shared" si="84"/>
        <v>0</v>
      </c>
      <c r="DI29" s="631">
        <f t="shared" si="85"/>
        <v>0</v>
      </c>
      <c r="DJ29" s="631">
        <f t="shared" si="86"/>
        <v>0</v>
      </c>
      <c r="DK29" s="631">
        <f t="shared" si="87"/>
        <v>0</v>
      </c>
      <c r="DL29" s="631">
        <f t="shared" si="88"/>
        <v>0</v>
      </c>
      <c r="DM29" s="631">
        <f t="shared" si="89"/>
        <v>0</v>
      </c>
      <c r="DN29" s="631">
        <f t="shared" si="90"/>
        <v>0</v>
      </c>
      <c r="DO29" s="631">
        <f t="shared" si="91"/>
        <v>0</v>
      </c>
      <c r="DP29" s="634">
        <f t="shared" si="92"/>
        <v>0</v>
      </c>
      <c r="DQ29" s="929">
        <f>IF($CB29=0,0,$DP29*_xlfn.XLOOKUP($CB29,Premises!$A$10:$F$10,Premises!$A$30:$F$30)/100)</f>
        <v>0</v>
      </c>
      <c r="DR29" s="633">
        <f>IFERROR(SUM($DP29:$DQ29)*IF(INDEX(Premises!$A$42:$F$42,1,MATCH($CB29,Premises!$A$10:$F$10,0))&gt;0,INDEX(Premises!$A$42:$F$42,1,MATCH($CB29,Premises!$A$10:$F$10,0))%,$CN29),0)</f>
        <v>0</v>
      </c>
      <c r="DS29" s="633" cm="1">
        <f t="array" ref="DS29">IF($CB29=0,0,SUM($DP29:$DR29)*_xlfn.XLOOKUP($CB29,Premises!$A$10:$F$10,IF(INDEX(Settings[],MATCH(3001,Settings[ID],0),2)="B",Premises!$A$33:$F$33,Premises!$A$31:$F$31))/100)</f>
        <v>0</v>
      </c>
      <c r="DT29" s="633" cm="1">
        <f t="array" ref="DT29">IF($CB29=0,0,$DP29*_xlfn.XLOOKUP($CB29,Premises!$A$10:$F$10,IF(INDEX(Settings[],MATCH(3002,Settings[ID],0),2)="B",Premises!$A$36:$F$36,Premises!$A$34:$F$34))/100)</f>
        <v>0</v>
      </c>
      <c r="DU29" s="633">
        <f>IF($CB29=0,0,SUM($DP29:$DT29)*_xlfn.XLOOKUP($CB29,Premises!$A$10:$F$10,Premises!$A$37:$F$37)/100)</f>
        <v>0</v>
      </c>
      <c r="DV29" s="932">
        <f t="shared" si="93"/>
        <v>0</v>
      </c>
      <c r="DW29" s="929">
        <f>IF($CC29=0,0,$DV29*_xlfn.XLOOKUP($CC29,Premises!$A$10:$F$10,Premises!$A$30:$F$30)/100)</f>
        <v>0</v>
      </c>
      <c r="DX29" s="633">
        <f>IFERROR(SUM($DV29:$DW29)*IF(INDEX(Premises!$A$42:$F$42,1,MATCH($CC29,Premises!$A$10:$F$10,0))&gt;0,INDEX(Premises!$A$42:$F$42,1,MATCH($CC29,Premises!$A$10:$F$10,0))%,$CP29),0)</f>
        <v>0</v>
      </c>
      <c r="DY29" s="633" cm="1">
        <f t="array" ref="DY29">IF($CC29=0,0,SUM($DV29:$DX29)*_xlfn.XLOOKUP($CC29,Premises!$A$10:$F$10,IF(INDEX(Settings[],MATCH(3001,Settings[ID],0),2)="B",Premises!$A$33:$F$33,Premises!$A$31:$F$31))/100)</f>
        <v>0</v>
      </c>
      <c r="DZ29" s="633" cm="1">
        <f t="array" ref="DZ29">IF($CC29=0,0,$DV29*_xlfn.XLOOKUP($CC29,Premises!$A$10:$F$10,IF(INDEX(Settings[],MATCH(3002,Settings[ID],0),2)="B",Premises!$A$36:$F$36,Premises!$A$34:$F$34))/100)</f>
        <v>0</v>
      </c>
      <c r="EA29" s="633">
        <f>IF($CC29=0,0,SUM($DV29:$DZ29)*_xlfn.XLOOKUP($CC29,Premises!$A$10:$F$10,Premises!$A$37:$F$37)/100)</f>
        <v>0</v>
      </c>
      <c r="EB29" s="634">
        <f t="shared" si="94"/>
        <v>0</v>
      </c>
      <c r="EC29" s="783"/>
      <c r="ED29" s="1082"/>
      <c r="EE29" s="633"/>
      <c r="EF29" s="1088"/>
      <c r="EG29" s="1086"/>
      <c r="EH29" s="1086"/>
      <c r="EI29" s="1086"/>
      <c r="EJ29" s="1086"/>
      <c r="EK29" s="1086"/>
      <c r="EL29" s="1086"/>
      <c r="EM29" s="1088"/>
      <c r="EN29" s="1086"/>
      <c r="EO29" s="1086"/>
      <c r="EP29" s="1086"/>
      <c r="EQ29" s="1086"/>
      <c r="ER29" s="1088"/>
      <c r="ES29" s="1086"/>
      <c r="ET29" s="1086"/>
      <c r="EU29" s="1086"/>
      <c r="EV29" s="1086"/>
      <c r="EW29" s="1086"/>
      <c r="EX29" s="1089"/>
      <c r="EY29" s="2"/>
      <c r="EZ29" s="2"/>
      <c r="FA29" s="2"/>
      <c r="FB29" s="2"/>
      <c r="FC29" s="2"/>
      <c r="FD29" s="2"/>
      <c r="FE29" s="2"/>
      <c r="FF29" s="2"/>
      <c r="FG29" s="2"/>
      <c r="FH29" s="2"/>
      <c r="FI29" s="2"/>
      <c r="FJ29" s="403"/>
      <c r="FK29" s="404"/>
      <c r="FL29" s="405"/>
      <c r="FM29" s="1133"/>
    </row>
    <row r="30" spans="1:169" s="13" customFormat="1" ht="12.75" customHeight="1">
      <c r="A30" s="215"/>
      <c r="B30" s="385" t="s">
        <v>4130</v>
      </c>
      <c r="C30" s="386"/>
      <c r="D30" s="629"/>
      <c r="E30" s="387" t="s">
        <v>4135</v>
      </c>
      <c r="F30" s="388">
        <v>102</v>
      </c>
      <c r="G30" s="388" t="s">
        <v>93</v>
      </c>
      <c r="H30" s="388">
        <v>12</v>
      </c>
      <c r="I30" s="620" cm="1">
        <f t="array" ref="I30">IF($CI30=0,0,IFERROR(INDEX(MHR[],$CI30,MATCH($CA30,MHR!$B$4:$AY$4,0)),0))</f>
        <v>48.837872708333336</v>
      </c>
      <c r="J30" s="617">
        <f t="shared" si="48"/>
        <v>0.11531164389467594</v>
      </c>
      <c r="K30" s="389" t="s">
        <v>49</v>
      </c>
      <c r="L30" s="390">
        <v>30</v>
      </c>
      <c r="M30" s="849">
        <v>3</v>
      </c>
      <c r="N30" s="390"/>
      <c r="O30" s="388"/>
      <c r="P30" s="628">
        <v>3334</v>
      </c>
      <c r="Q30" s="620">
        <v>16.537500000000001</v>
      </c>
      <c r="R30" s="617">
        <v>1.5640783243351331E-2</v>
      </c>
      <c r="S30" s="391">
        <v>2</v>
      </c>
      <c r="T30" s="392" t="s">
        <v>275</v>
      </c>
      <c r="U30" s="620" cm="1">
        <f t="array" ref="U30">IF(COUNTBLANK($S30:$T30),0,
IF(AND(INDEX(MHR[Schichtmodell],$CI30)&lt;&gt;0,INDEX(MHR[Schichtmodell],$CI30)&lt;&gt;INDEX(Premises!$A$20:$F$20,1,$CH30)),ExchangeRate*
IF(OR($T30="M",$T30="U"),IF(INDEX(MHR[Schichtmodell],$CI30)=1,INDEX(LOC[M1S],INDEX(Premises!$A$18:$F$18,1,$CH30+1)),IF(INDEX(MHR[Schichtmodell],$CI30)=2,INDEX(LOC[M2S],INDEX(Premises!$A$18:$F$18,1,$CH30+1),IF(INDEX(MHR[Schichtmodell],$CI30)=3,INDEX(LOC[M3S],INDEX(Premises!$A$18:$F$18,1,$CH30+1)),0)))),
IF(INDEX(MHR[Schichtmodell],$CI30)=1,INDEX(LOC[F1S],INDEX(Premises!$A$18:$F$18,1,$CH30+1)),IF(INDEX(MHR[Schichtmodell],$CI30)=2,INDEX(LOC[F2S],INDEX(Premises!$A$18:$F$18,1,$CH30+1)),IF(INDEX(MHR[Schichtmodell],$CI30)=3,INDEX(LOC[F3S],INDEX(Premises!$A$18:$F$18,1,$CH30+1)),0)))),
IF(OR($T30="M",$T30="U"),INDEX(Premises!$A$21:$F$21,1,$CH30),
IF(OR($T30="F",$T30="S"),INDEX(Premises!$A$22:$F$22,1,$CH30),0)))*100/INDEX(Premises!$A$16:$F$16,1,$CH30))</f>
        <v>11.762499999999999</v>
      </c>
      <c r="V30" s="614">
        <f t="shared" si="49"/>
        <v>5.5545138888888887E-2</v>
      </c>
      <c r="W30" s="393"/>
      <c r="X30" s="386"/>
      <c r="Y30" s="394"/>
      <c r="Z30" s="395"/>
      <c r="AA30" s="611">
        <f t="shared" si="50"/>
        <v>0</v>
      </c>
      <c r="AB30" s="393"/>
      <c r="AC30" s="386"/>
      <c r="AD30" s="394"/>
      <c r="AE30" s="396"/>
      <c r="AF30" s="611">
        <f t="shared" si="51"/>
        <v>0</v>
      </c>
      <c r="AG30" s="612" cm="1">
        <f t="array" ref="AG30">IF(($J30+$V30+$AF30)=0,0,INDEX(Premises!$A$30:$F$30,1,$CH30)/100)</f>
        <v>0.01</v>
      </c>
      <c r="AH30" s="397"/>
      <c r="AI30" s="398"/>
      <c r="AJ30" s="399"/>
      <c r="AK30" s="613">
        <f t="shared" si="52"/>
        <v>0</v>
      </c>
      <c r="AL30" s="614">
        <f t="shared" si="53"/>
        <v>1.7085678278356482E-3</v>
      </c>
      <c r="AM30" s="615" cm="1">
        <f t="array" ref="AM30">IF($CI30=0,0,IFERROR(INDEX(MHR[],$CI30,MATCH($CA30,MHR!$B$4:$AY$4,0)+11),0))</f>
        <v>10.810270866302181</v>
      </c>
      <c r="AN30" s="616" cm="1">
        <f t="array" ref="AN30">IF(($J30+$V30)=0,0,IFERROR(IF(INDEX(Premises!$A$41:$F$41,1,$CH30)&lt;&gt;0,INDEX(Premises!$A$41:$F$41,1,$CH30)/100,(IFERROR(($J30/$I30)*$AM30,0)/($V30+$J30+$R30+$AL30))),0))</f>
        <v>0.13561859081726407</v>
      </c>
      <c r="AO30" s="617">
        <f t="shared" si="54"/>
        <v>2.5524250656546815E-2</v>
      </c>
      <c r="AP30" s="618">
        <f t="shared" si="55"/>
        <v>0.21373038451129861</v>
      </c>
      <c r="AQ30" s="393"/>
      <c r="AR30" s="392"/>
      <c r="AS30" s="619" cm="1">
        <f t="array" ref="AS30">IF($CJ30=0,0,IFERROR(INDEX(MAT[Einheit],$CJ30,1),0))</f>
        <v>0</v>
      </c>
      <c r="AT30" s="620" cm="1">
        <f t="array" ref="AT30">IF($CJ30=0,0,IFERROR(INDEX(MAT[Preis],$CJ30,1),0))</f>
        <v>0</v>
      </c>
      <c r="AU30" s="621">
        <f t="shared" si="56"/>
        <v>0</v>
      </c>
      <c r="AV30" s="622" cm="1">
        <f t="array" ref="AV30">IF($AU30&lt;=0,0,INDEX(Premises!$A$30:$F$30,1,$CH30)/100)</f>
        <v>0</v>
      </c>
      <c r="AW30" s="392"/>
      <c r="AX30" s="614">
        <f t="shared" si="57"/>
        <v>0</v>
      </c>
      <c r="AY30" s="623" cm="1">
        <f t="array" ref="AY30">IF($AT30&lt;=0,0,IFERROR(IF(INDEX(Premises!$A$42:$F$42,1,$CH30)&lt;&gt;0,INDEX(Premises!$A$42:$F$42,1,$CH30)/100,(INDEX(MAT[],$CJ30,MATCH($CA30,MAT!$B$4:$AE$4,0))/($AR30*$CK30*INDEX(Premises!$A$13:$F$13,1,$CH30))+INDEX(MAT[],$CJ30,MATCH($CA30,MAT!$B$4:$AE$4,0)+7))/$AT30),0))</f>
        <v>0</v>
      </c>
      <c r="AZ30" s="614">
        <f t="shared" si="58"/>
        <v>0</v>
      </c>
      <c r="BA30" s="618">
        <f t="shared" si="59"/>
        <v>0</v>
      </c>
      <c r="BB30" s="618">
        <f t="shared" si="60"/>
        <v>0.21373038451129861</v>
      </c>
      <c r="BC30" s="622" cm="1">
        <f t="array" ref="BC30">IF($BB30&lt;=0,0,IF(BC$2=-1,0,INDEX(Premises!$A$32:$F$32,1,$CH30)/100))</f>
        <v>0</v>
      </c>
      <c r="BD30" s="614">
        <f t="shared" si="61"/>
        <v>0</v>
      </c>
      <c r="BE30" s="622" cm="1">
        <f t="array" ref="BE30">IF($BB30&lt;=0,0,IF(BE$2=-1,0,INDEX(Premises!$A$33:$F$33,1,$CH30)/100))</f>
        <v>0</v>
      </c>
      <c r="BF30" s="614">
        <f t="shared" si="62"/>
        <v>0</v>
      </c>
      <c r="BG30" s="622" cm="1">
        <f t="array" ref="BG30">IF($BB30&lt;=0,0,IF(BG$2=-1,0,INDEX(Premises!$A$31:$F$31,1,$CH30)/100))</f>
        <v>0.1</v>
      </c>
      <c r="BH30" s="614">
        <f t="shared" si="63"/>
        <v>2.1202181668346295E-2</v>
      </c>
      <c r="BI30" s="618">
        <f t="shared" si="64"/>
        <v>0.23493256617964492</v>
      </c>
      <c r="BJ30" s="622" cm="1">
        <f t="array" ref="BJ30">IF($BB30&lt;=0,0,IF(BJ$2=-1,0,INDEX(Premises!$A$35:$F$35,1,$CH30)/100))</f>
        <v>0</v>
      </c>
      <c r="BK30" s="614">
        <f t="shared" si="65"/>
        <v>0</v>
      </c>
      <c r="BL30" s="622" cm="1">
        <f t="array" ref="BL30">IF($BB30&lt;=0,0,IF(BL$2=-1,0,INDEX(Premises!$A$36:$F$36,1,$CH30)/100))</f>
        <v>0</v>
      </c>
      <c r="BM30" s="614">
        <f t="shared" si="66"/>
        <v>0</v>
      </c>
      <c r="BN30" s="622" cm="1">
        <f t="array" ref="BN30">IF($BB30&lt;=0,0,IF(BN$2=-1,0,INDEX(Premises!$A$34:$F$34,1,$CH30)/100))</f>
        <v>0.06</v>
      </c>
      <c r="BO30" s="614">
        <f t="shared" si="67"/>
        <v>1.2721309001007777E-2</v>
      </c>
      <c r="BP30" s="622" cm="1">
        <f t="array" ref="BP30">IF($BI30=0,0,INDEX(Premises!$A$37:$F$37,1,$CH30)/100)</f>
        <v>0</v>
      </c>
      <c r="BQ30" s="392"/>
      <c r="BR30" s="614">
        <f t="shared" si="68"/>
        <v>0</v>
      </c>
      <c r="BS30" s="624">
        <f t="shared" si="69"/>
        <v>0.24765387518065268</v>
      </c>
      <c r="BT30" s="624">
        <f t="shared" si="70"/>
        <v>0.24765387518065268</v>
      </c>
      <c r="BU30" s="625">
        <f t="shared" si="71"/>
        <v>1</v>
      </c>
      <c r="BV30" s="1127"/>
      <c r="BW30" s="401"/>
      <c r="BX30" s="401"/>
      <c r="BY30" s="402"/>
      <c r="BZ30" s="946"/>
      <c r="CA30" s="263" cm="1">
        <f t="array" ref="CA30">IF($BZ30&gt;0,VALUE(LEFT($BZ30,IF(ISERROR(FIND("-",$BZ30)),LEN($BZ30),FIND("-",$BZ30)-1))),INDEX($CA$1:$CA30,MAX(1,$CD30)))</f>
        <v>1</v>
      </c>
      <c r="CB30" s="263" cm="1">
        <f t="array" ref="CB30">IF($BT30=0,0,IF(LEN($BZ30)-LEN(SUBSTITUTE($BZ30,"-",""))&gt;1,
VALUE(MID($BZ30,FIND("-",$BZ30)+1,FIND("-",$BZ30,FIND("-",$BZ30)+1)-FIND("-",$BZ30)-1)),IF($BZ30&gt;0,0,INDEX($CB$1:$CB30,MAX(1,$CD30)))))</f>
        <v>0</v>
      </c>
      <c r="CC30" s="263" cm="1">
        <f t="array" ref="CC30">IF($BT30=0,0,IF(NOT(ISERROR(FIND("-",BZ30))),
VALUE(RIGHT($BZ30,LEN($BZ30)-IF(LEN($BZ30)-LEN(SUBSTITUTE($BZ30,"-",""))=1,FIND("-",$BZ30),FIND("-",$BZ30,FIND("-",$BZ30)+1)))),
IF($BZ30&gt;0,0,INDEX($CC$1:$CC30,MAX(1,$CD30)))))</f>
        <v>0</v>
      </c>
      <c r="CD30" s="376">
        <f>MATCH(0,$CE$1:$CE30,-1)</f>
        <v>26</v>
      </c>
      <c r="CE30" s="263"/>
      <c r="CF30" s="377"/>
      <c r="CG30" s="376" cm="1">
        <f t="array" ref="CG30">INDEX($CG$1:$CG30,$CD30)</f>
        <v>5</v>
      </c>
      <c r="CH30" s="263">
        <f>MATCH($CA30,Premises!$A$10:$F$10,0)</f>
        <v>4</v>
      </c>
      <c r="CI30" s="263">
        <f>IF(ISBLANK($E30),0,IFERROR(MATCH($E30,MHR[Bezeichnung],0),0))</f>
        <v>1</v>
      </c>
      <c r="CJ30" s="377">
        <f>IF(ISBLANK($AQ30),0,IFERROR(MATCH($AQ30,MAT[Bezeichnung],0),0))</f>
        <v>0</v>
      </c>
      <c r="CK30" s="263" cm="1">
        <f t="array" ref="CK30">INDEX($D$1:$D30,$CD30)</f>
        <v>1</v>
      </c>
      <c r="CL30" s="263"/>
      <c r="CM30" s="378"/>
      <c r="CN30" s="379" cm="1">
        <f t="array" ref="CN30">IF($CB30=0,0,IF($CB30=INDEX($CB$1:$CB30,$CD30),INDEX($CN$1:$CN30,$CD30),$CP30))</f>
        <v>0</v>
      </c>
      <c r="CO30" s="378"/>
      <c r="CP30" s="379" cm="1">
        <f t="array" ref="CP30">IF($CC30=0,0,INDEX($CP$1:$CP30,$CD30))</f>
        <v>0</v>
      </c>
      <c r="CQ30" s="380"/>
      <c r="CR30" s="381"/>
      <c r="CS30" s="381"/>
      <c r="CT30" s="1132"/>
      <c r="CU30" s="1129"/>
      <c r="CV30" s="630">
        <f t="shared" si="72"/>
        <v>0.11531164389467594</v>
      </c>
      <c r="CW30" s="631">
        <f t="shared" si="73"/>
        <v>1.5640783243351331E-2</v>
      </c>
      <c r="CX30" s="631">
        <f t="shared" si="74"/>
        <v>5.5545138888888887E-2</v>
      </c>
      <c r="CY30" s="631">
        <f t="shared" si="75"/>
        <v>0</v>
      </c>
      <c r="CZ30" s="631">
        <f t="shared" si="76"/>
        <v>0</v>
      </c>
      <c r="DA30" s="631">
        <f t="shared" si="77"/>
        <v>1.7085678278356482E-3</v>
      </c>
      <c r="DB30" s="631">
        <f t="shared" si="78"/>
        <v>2.5524250656546815E-2</v>
      </c>
      <c r="DC30" s="632">
        <f t="shared" si="79"/>
        <v>0.21373038451129861</v>
      </c>
      <c r="DD30" s="631">
        <f t="shared" si="80"/>
        <v>0</v>
      </c>
      <c r="DE30" s="631">
        <f t="shared" si="81"/>
        <v>0</v>
      </c>
      <c r="DF30" s="631">
        <f t="shared" si="82"/>
        <v>0</v>
      </c>
      <c r="DG30" s="632">
        <f t="shared" si="83"/>
        <v>0</v>
      </c>
      <c r="DH30" s="632">
        <f t="shared" si="84"/>
        <v>0.21373038451129861</v>
      </c>
      <c r="DI30" s="631">
        <f t="shared" si="85"/>
        <v>0</v>
      </c>
      <c r="DJ30" s="631">
        <f t="shared" si="86"/>
        <v>0</v>
      </c>
      <c r="DK30" s="631">
        <f t="shared" si="87"/>
        <v>2.1202181668346295E-2</v>
      </c>
      <c r="DL30" s="631">
        <f t="shared" si="88"/>
        <v>0</v>
      </c>
      <c r="DM30" s="631">
        <f t="shared" si="89"/>
        <v>0</v>
      </c>
      <c r="DN30" s="631">
        <f t="shared" si="90"/>
        <v>1.2721309001007777E-2</v>
      </c>
      <c r="DO30" s="631">
        <f t="shared" si="91"/>
        <v>0</v>
      </c>
      <c r="DP30" s="634">
        <f t="shared" si="92"/>
        <v>0.24765387518065268</v>
      </c>
      <c r="DQ30" s="929">
        <f>IF($CB30=0,0,$DP30*_xlfn.XLOOKUP($CB30,Premises!$A$10:$F$10,Premises!$A$30:$F$30)/100)</f>
        <v>0</v>
      </c>
      <c r="DR30" s="633">
        <f>IFERROR(SUM($DP30:$DQ30)*IF(INDEX(Premises!$A$42:$F$42,1,MATCH($CB30,Premises!$A$10:$F$10,0))&gt;0,INDEX(Premises!$A$42:$F$42,1,MATCH($CB30,Premises!$A$10:$F$10,0))%,$CN30),0)</f>
        <v>0</v>
      </c>
      <c r="DS30" s="633" cm="1">
        <f t="array" ref="DS30">IF($CB30=0,0,SUM($DP30:$DR30)*_xlfn.XLOOKUP($CB30,Premises!$A$10:$F$10,IF(INDEX(Settings[],MATCH(3001,Settings[ID],0),2)="B",Premises!$A$33:$F$33,Premises!$A$31:$F$31))/100)</f>
        <v>0</v>
      </c>
      <c r="DT30" s="633" cm="1">
        <f t="array" ref="DT30">IF($CB30=0,0,$DP30*_xlfn.XLOOKUP($CB30,Premises!$A$10:$F$10,IF(INDEX(Settings[],MATCH(3002,Settings[ID],0),2)="B",Premises!$A$36:$F$36,Premises!$A$34:$F$34))/100)</f>
        <v>0</v>
      </c>
      <c r="DU30" s="633">
        <f>IF($CB30=0,0,SUM($DP30:$DT30)*_xlfn.XLOOKUP($CB30,Premises!$A$10:$F$10,Premises!$A$37:$F$37)/100)</f>
        <v>0</v>
      </c>
      <c r="DV30" s="932">
        <f t="shared" si="93"/>
        <v>0.24765387518065268</v>
      </c>
      <c r="DW30" s="929">
        <f>IF($CC30=0,0,$DV30*_xlfn.XLOOKUP($CC30,Premises!$A$10:$F$10,Premises!$A$30:$F$30)/100)</f>
        <v>0</v>
      </c>
      <c r="DX30" s="633">
        <f>IFERROR(SUM($DV30:$DW30)*IF(INDEX(Premises!$A$42:$F$42,1,MATCH($CC30,Premises!$A$10:$F$10,0))&gt;0,INDEX(Premises!$A$42:$F$42,1,MATCH($CC30,Premises!$A$10:$F$10,0))%,$CP30),0)</f>
        <v>0</v>
      </c>
      <c r="DY30" s="633" cm="1">
        <f t="array" ref="DY30">IF($CC30=0,0,SUM($DV30:$DX30)*_xlfn.XLOOKUP($CC30,Premises!$A$10:$F$10,IF(INDEX(Settings[],MATCH(3001,Settings[ID],0),2)="B",Premises!$A$33:$F$33,Premises!$A$31:$F$31))/100)</f>
        <v>0</v>
      </c>
      <c r="DZ30" s="633" cm="1">
        <f t="array" ref="DZ30">IF($CC30=0,0,$DV30*_xlfn.XLOOKUP($CC30,Premises!$A$10:$F$10,IF(INDEX(Settings[],MATCH(3002,Settings[ID],0),2)="B",Premises!$A$36:$F$36,Premises!$A$34:$F$34))/100)</f>
        <v>0</v>
      </c>
      <c r="EA30" s="633">
        <f>IF($CC30=0,0,SUM($DV30:$DZ30)*_xlfn.XLOOKUP($CC30,Premises!$A$10:$F$10,Premises!$A$37:$F$37)/100)</f>
        <v>0</v>
      </c>
      <c r="EB30" s="634">
        <f t="shared" si="94"/>
        <v>0.24765387518065268</v>
      </c>
      <c r="EC30" s="783"/>
      <c r="ED30" s="1082"/>
      <c r="EE30" s="633"/>
      <c r="EF30" s="1088"/>
      <c r="EG30" s="1086"/>
      <c r="EH30" s="1086"/>
      <c r="EI30" s="1086"/>
      <c r="EJ30" s="1086"/>
      <c r="EK30" s="1086"/>
      <c r="EL30" s="1086"/>
      <c r="EM30" s="1088"/>
      <c r="EN30" s="1086"/>
      <c r="EO30" s="1086"/>
      <c r="EP30" s="1086"/>
      <c r="EQ30" s="1086"/>
      <c r="ER30" s="1088"/>
      <c r="ES30" s="1086"/>
      <c r="ET30" s="1086"/>
      <c r="EU30" s="1086"/>
      <c r="EV30" s="1086"/>
      <c r="EW30" s="1086"/>
      <c r="EX30" s="1089"/>
      <c r="EY30" s="2"/>
      <c r="EZ30" s="2"/>
      <c r="FA30" s="2"/>
      <c r="FB30" s="2"/>
      <c r="FC30" s="2"/>
      <c r="FD30" s="2"/>
      <c r="FE30" s="2"/>
      <c r="FF30" s="2"/>
      <c r="FG30" s="2"/>
      <c r="FH30" s="2"/>
      <c r="FI30" s="2"/>
      <c r="FJ30" s="403"/>
      <c r="FK30" s="404"/>
      <c r="FL30" s="405"/>
      <c r="FM30" s="1133"/>
    </row>
    <row r="31" spans="1:169" s="13" customFormat="1" ht="12.75" customHeight="1">
      <c r="A31" s="215"/>
      <c r="B31" s="385" t="s">
        <v>4131</v>
      </c>
      <c r="C31" s="386"/>
      <c r="D31" s="629"/>
      <c r="E31" s="387" t="s">
        <v>4139</v>
      </c>
      <c r="F31" s="388">
        <f>0.7*'E-BOM PCB Main UI'!I38+0.7*'E-BOM PCB Main UI'!L38</f>
        <v>7</v>
      </c>
      <c r="G31" s="388" t="s">
        <v>93</v>
      </c>
      <c r="H31" s="388">
        <v>1</v>
      </c>
      <c r="I31" s="620" cm="1">
        <f t="array" ref="I31">IF($CI31=0,0,IFERROR(INDEX(MHR[],$CI31,MATCH($CA31,MHR!$B$4:$AY$4,0)),0))</f>
        <v>6.9159375000000001</v>
      </c>
      <c r="J31" s="617">
        <f t="shared" si="48"/>
        <v>1.344765625E-2</v>
      </c>
      <c r="K31" s="389" t="s">
        <v>49</v>
      </c>
      <c r="L31" s="390">
        <v>30</v>
      </c>
      <c r="M31" s="849">
        <v>1</v>
      </c>
      <c r="N31" s="390"/>
      <c r="O31" s="388"/>
      <c r="P31" s="628">
        <v>3334</v>
      </c>
      <c r="Q31" s="620">
        <v>16.537500000000001</v>
      </c>
      <c r="R31" s="617">
        <v>3.6525757348530299E-3</v>
      </c>
      <c r="S31" s="391">
        <v>1</v>
      </c>
      <c r="T31" s="392" t="s">
        <v>275</v>
      </c>
      <c r="U31" s="620" cm="1">
        <f t="array" ref="U31">IF(COUNTBLANK($S31:$T31),0,
IF(AND(INDEX(MHR[Schichtmodell],$CI31)&lt;&gt;0,INDEX(MHR[Schichtmodell],$CI31)&lt;&gt;INDEX(Premises!$A$20:$F$20,1,$CH31)),ExchangeRate*
IF(OR($T31="M",$T31="U"),IF(INDEX(MHR[Schichtmodell],$CI31)=1,INDEX(LOC[M1S],INDEX(Premises!$A$18:$F$18,1,$CH31+1)),IF(INDEX(MHR[Schichtmodell],$CI31)=2,INDEX(LOC[M2S],INDEX(Premises!$A$18:$F$18,1,$CH31+1),IF(INDEX(MHR[Schichtmodell],$CI31)=3,INDEX(LOC[M3S],INDEX(Premises!$A$18:$F$18,1,$CH31+1)),0)))),
IF(INDEX(MHR[Schichtmodell],$CI31)=1,INDEX(LOC[F1S],INDEX(Premises!$A$18:$F$18,1,$CH31+1)),IF(INDEX(MHR[Schichtmodell],$CI31)=2,INDEX(LOC[F2S],INDEX(Premises!$A$18:$F$18,1,$CH31+1)),IF(INDEX(MHR[Schichtmodell],$CI31)=3,INDEX(LOC[F3S],INDEX(Premises!$A$18:$F$18,1,$CH31+1)),0)))),
IF(OR($T31="M",$T31="U"),INDEX(Premises!$A$21:$F$21,1,$CH31),
IF(OR($T31="F",$T31="S"),INDEX(Premises!$A$22:$F$22,1,$CH31),0)))*100/INDEX(Premises!$A$16:$F$16,1,$CH31))</f>
        <v>11.762499999999999</v>
      </c>
      <c r="V31" s="614">
        <f t="shared" si="49"/>
        <v>2.2871527777777775E-2</v>
      </c>
      <c r="W31" s="393"/>
      <c r="X31" s="386"/>
      <c r="Y31" s="394"/>
      <c r="Z31" s="395"/>
      <c r="AA31" s="611">
        <f t="shared" si="50"/>
        <v>0</v>
      </c>
      <c r="AB31" s="393"/>
      <c r="AC31" s="386"/>
      <c r="AD31" s="394"/>
      <c r="AE31" s="396"/>
      <c r="AF31" s="611">
        <f t="shared" si="51"/>
        <v>0</v>
      </c>
      <c r="AG31" s="612" cm="1">
        <f t="array" ref="AG31">IF(($J31+$V31+$AF31)=0,0,INDEX(Premises!$A$30:$F$30,1,$CH31)/100)</f>
        <v>0.01</v>
      </c>
      <c r="AH31" s="397"/>
      <c r="AI31" s="398"/>
      <c r="AJ31" s="399"/>
      <c r="AK31" s="613">
        <f t="shared" si="52"/>
        <v>0</v>
      </c>
      <c r="AL31" s="614">
        <f t="shared" si="53"/>
        <v>3.6319184027777776E-4</v>
      </c>
      <c r="AM31" s="615" cm="1">
        <f t="array" ref="AM31">IF($CI31=0,0,IFERROR(INDEX(MHR[],$CI31,MATCH($CA31,MHR!$B$4:$AY$4,0)+11),0))</f>
        <v>1.258417175997371</v>
      </c>
      <c r="AN31" s="616" cm="1">
        <f t="array" ref="AN31">IF(($J31+$V31)=0,0,IFERROR(IF(INDEX(Premises!$A$41:$F$41,1,$CH31)&lt;&gt;0,INDEX(Premises!$A$41:$F$41,1,$CH31)/100,(IFERROR(($J31/$I31)*$AM31,0)/($V31+$J31+$R31+$AL31))),0))</f>
        <v>6.0665060683625691E-2</v>
      </c>
      <c r="AO31" s="617">
        <f t="shared" si="54"/>
        <v>2.4469222866615545E-3</v>
      </c>
      <c r="AP31" s="618">
        <f t="shared" si="55"/>
        <v>4.2781873889570138E-2</v>
      </c>
      <c r="AQ31" s="393"/>
      <c r="AR31" s="392"/>
      <c r="AS31" s="619" cm="1">
        <f t="array" ref="AS31">IF($CJ31=0,0,IFERROR(INDEX(MAT[Einheit],$CJ31,1),0))</f>
        <v>0</v>
      </c>
      <c r="AT31" s="620" cm="1">
        <f t="array" ref="AT31">IF($CJ31=0,0,IFERROR(INDEX(MAT[Preis],$CJ31,1),0))</f>
        <v>0</v>
      </c>
      <c r="AU31" s="621">
        <f t="shared" si="56"/>
        <v>0</v>
      </c>
      <c r="AV31" s="622" cm="1">
        <f t="array" ref="AV31">IF($AU31&lt;=0,0,INDEX(Premises!$A$30:$F$30,1,$CH31)/100)</f>
        <v>0</v>
      </c>
      <c r="AW31" s="392"/>
      <c r="AX31" s="614">
        <f t="shared" si="57"/>
        <v>0</v>
      </c>
      <c r="AY31" s="623" cm="1">
        <f t="array" ref="AY31">IF($AT31&lt;=0,0,IFERROR(IF(INDEX(Premises!$A$42:$F$42,1,$CH31)&lt;&gt;0,INDEX(Premises!$A$42:$F$42,1,$CH31)/100,(INDEX(MAT[],$CJ31,MATCH($CA31,MAT!$B$4:$AE$4,0))/($AR31*$CK31*INDEX(Premises!$A$13:$F$13,1,$CH31))+INDEX(MAT[],$CJ31,MATCH($CA31,MAT!$B$4:$AE$4,0)+7))/$AT31),0))</f>
        <v>0</v>
      </c>
      <c r="AZ31" s="614">
        <f t="shared" si="58"/>
        <v>0</v>
      </c>
      <c r="BA31" s="618">
        <f t="shared" si="59"/>
        <v>0</v>
      </c>
      <c r="BB31" s="618">
        <f t="shared" si="60"/>
        <v>4.2781873889570138E-2</v>
      </c>
      <c r="BC31" s="622" cm="1">
        <f t="array" ref="BC31">IF($BB31&lt;=0,0,IF(BC$2=-1,0,INDEX(Premises!$A$32:$F$32,1,$CH31)/100))</f>
        <v>0</v>
      </c>
      <c r="BD31" s="614">
        <f t="shared" si="61"/>
        <v>0</v>
      </c>
      <c r="BE31" s="622" cm="1">
        <f t="array" ref="BE31">IF($BB31&lt;=0,0,IF(BE$2=-1,0,INDEX(Premises!$A$33:$F$33,1,$CH31)/100))</f>
        <v>0</v>
      </c>
      <c r="BF31" s="614">
        <f t="shared" si="62"/>
        <v>0</v>
      </c>
      <c r="BG31" s="622" cm="1">
        <f t="array" ref="BG31">IF($BB31&lt;=0,0,IF(BG$2=-1,0,INDEX(Premises!$A$31:$F$31,1,$CH31)/100))</f>
        <v>0.1</v>
      </c>
      <c r="BH31" s="614">
        <f t="shared" si="63"/>
        <v>4.2418682049292361E-3</v>
      </c>
      <c r="BI31" s="618">
        <f t="shared" si="64"/>
        <v>4.7023742094499374E-2</v>
      </c>
      <c r="BJ31" s="622" cm="1">
        <f t="array" ref="BJ31">IF($BB31&lt;=0,0,IF(BJ$2=-1,0,INDEX(Premises!$A$35:$F$35,1,$CH31)/100))</f>
        <v>0</v>
      </c>
      <c r="BK31" s="614">
        <f t="shared" si="65"/>
        <v>0</v>
      </c>
      <c r="BL31" s="622" cm="1">
        <f t="array" ref="BL31">IF($BB31&lt;=0,0,IF(BL$2=-1,0,INDEX(Premises!$A$36:$F$36,1,$CH31)/100))</f>
        <v>0</v>
      </c>
      <c r="BM31" s="614">
        <f t="shared" si="66"/>
        <v>0</v>
      </c>
      <c r="BN31" s="622" cm="1">
        <f t="array" ref="BN31">IF($BB31&lt;=0,0,IF(BN$2=-1,0,INDEX(Premises!$A$34:$F$34,1,$CH31)/100))</f>
        <v>0.06</v>
      </c>
      <c r="BO31" s="614">
        <f t="shared" si="67"/>
        <v>2.5451209229575417E-3</v>
      </c>
      <c r="BP31" s="622" cm="1">
        <f t="array" ref="BP31">IF($BI31=0,0,INDEX(Premises!$A$37:$F$37,1,$CH31)/100)</f>
        <v>0</v>
      </c>
      <c r="BQ31" s="392"/>
      <c r="BR31" s="614">
        <f t="shared" si="68"/>
        <v>0</v>
      </c>
      <c r="BS31" s="624">
        <f t="shared" si="69"/>
        <v>4.9568863017456916E-2</v>
      </c>
      <c r="BT31" s="624">
        <f t="shared" si="70"/>
        <v>4.9568863017456916E-2</v>
      </c>
      <c r="BU31" s="625">
        <f t="shared" si="71"/>
        <v>1</v>
      </c>
      <c r="BV31" s="1127"/>
      <c r="BW31" s="401"/>
      <c r="BX31" s="401"/>
      <c r="BY31" s="402"/>
      <c r="BZ31" s="946"/>
      <c r="CA31" s="263" cm="1">
        <f t="array" ref="CA31">IF($BZ31&gt;0,VALUE(LEFT($BZ31,IF(ISERROR(FIND("-",$BZ31)),LEN($BZ31),FIND("-",$BZ31)-1))),INDEX($CA$1:$CA31,MAX(1,$CD31)))</f>
        <v>1</v>
      </c>
      <c r="CB31" s="263" cm="1">
        <f t="array" ref="CB31">IF($BT31=0,0,IF(LEN($BZ31)-LEN(SUBSTITUTE($BZ31,"-",""))&gt;1,
VALUE(MID($BZ31,FIND("-",$BZ31)+1,FIND("-",$BZ31,FIND("-",$BZ31)+1)-FIND("-",$BZ31)-1)),IF($BZ31&gt;0,0,INDEX($CB$1:$CB31,MAX(1,$CD31)))))</f>
        <v>0</v>
      </c>
      <c r="CC31" s="263" cm="1">
        <f t="array" ref="CC31">IF($BT31=0,0,IF(NOT(ISERROR(FIND("-",BZ31))),
VALUE(RIGHT($BZ31,LEN($BZ31)-IF(LEN($BZ31)-LEN(SUBSTITUTE($BZ31,"-",""))=1,FIND("-",$BZ31),FIND("-",$BZ31,FIND("-",$BZ31)+1)))),
IF($BZ31&gt;0,0,INDEX($CC$1:$CC31,MAX(1,$CD31)))))</f>
        <v>0</v>
      </c>
      <c r="CD31" s="376">
        <f>MATCH(0,$CE$1:$CE31,-1)</f>
        <v>26</v>
      </c>
      <c r="CE31" s="263"/>
      <c r="CF31" s="377"/>
      <c r="CG31" s="376" cm="1">
        <f t="array" ref="CG31">INDEX($CG$1:$CG31,$CD31)</f>
        <v>5</v>
      </c>
      <c r="CH31" s="263">
        <f>MATCH($CA31,Premises!$A$10:$F$10,0)</f>
        <v>4</v>
      </c>
      <c r="CI31" s="263">
        <f>IF(ISBLANK($E31),0,IFERROR(MATCH($E31,MHR[Bezeichnung],0),0))</f>
        <v>2</v>
      </c>
      <c r="CJ31" s="377">
        <f>IF(ISBLANK($AQ31),0,IFERROR(MATCH($AQ31,MAT[Bezeichnung],0),0))</f>
        <v>0</v>
      </c>
      <c r="CK31" s="263" cm="1">
        <f t="array" ref="CK31">INDEX($D$1:$D31,$CD31)</f>
        <v>1</v>
      </c>
      <c r="CL31" s="263"/>
      <c r="CM31" s="378"/>
      <c r="CN31" s="379" cm="1">
        <f t="array" ref="CN31">IF($CB31=0,0,IF($CB31=INDEX($CB$1:$CB31,$CD31),INDEX($CN$1:$CN31,$CD31),$CP31))</f>
        <v>0</v>
      </c>
      <c r="CO31" s="378"/>
      <c r="CP31" s="379" cm="1">
        <f t="array" ref="CP31">IF($CC31=0,0,INDEX($CP$1:$CP31,$CD31))</f>
        <v>0</v>
      </c>
      <c r="CQ31" s="380"/>
      <c r="CR31" s="381"/>
      <c r="CS31" s="381"/>
      <c r="CT31" s="1132"/>
      <c r="CU31" s="1129"/>
      <c r="CV31" s="630">
        <f t="shared" si="72"/>
        <v>1.344765625E-2</v>
      </c>
      <c r="CW31" s="631">
        <f t="shared" si="73"/>
        <v>3.6525757348530299E-3</v>
      </c>
      <c r="CX31" s="631">
        <f t="shared" si="74"/>
        <v>2.2871527777777775E-2</v>
      </c>
      <c r="CY31" s="631">
        <f t="shared" si="75"/>
        <v>0</v>
      </c>
      <c r="CZ31" s="631">
        <f t="shared" si="76"/>
        <v>0</v>
      </c>
      <c r="DA31" s="631">
        <f t="shared" si="77"/>
        <v>3.6319184027777776E-4</v>
      </c>
      <c r="DB31" s="631">
        <f t="shared" si="78"/>
        <v>2.4469222866615545E-3</v>
      </c>
      <c r="DC31" s="632">
        <f t="shared" si="79"/>
        <v>4.2781873889570138E-2</v>
      </c>
      <c r="DD31" s="631">
        <f t="shared" si="80"/>
        <v>0</v>
      </c>
      <c r="DE31" s="631">
        <f t="shared" si="81"/>
        <v>0</v>
      </c>
      <c r="DF31" s="631">
        <f t="shared" si="82"/>
        <v>0</v>
      </c>
      <c r="DG31" s="632">
        <f t="shared" si="83"/>
        <v>0</v>
      </c>
      <c r="DH31" s="632">
        <f t="shared" si="84"/>
        <v>4.2781873889570138E-2</v>
      </c>
      <c r="DI31" s="631">
        <f t="shared" si="85"/>
        <v>0</v>
      </c>
      <c r="DJ31" s="631">
        <f t="shared" si="86"/>
        <v>0</v>
      </c>
      <c r="DK31" s="631">
        <f t="shared" si="87"/>
        <v>4.2418682049292361E-3</v>
      </c>
      <c r="DL31" s="631">
        <f t="shared" si="88"/>
        <v>0</v>
      </c>
      <c r="DM31" s="631">
        <f t="shared" si="89"/>
        <v>0</v>
      </c>
      <c r="DN31" s="631">
        <f t="shared" si="90"/>
        <v>2.5451209229575417E-3</v>
      </c>
      <c r="DO31" s="631">
        <f t="shared" si="91"/>
        <v>0</v>
      </c>
      <c r="DP31" s="634">
        <f t="shared" si="92"/>
        <v>4.9568863017456916E-2</v>
      </c>
      <c r="DQ31" s="929">
        <f>IF($CB31=0,0,$DP31*_xlfn.XLOOKUP($CB31,Premises!$A$10:$F$10,Premises!$A$30:$F$30)/100)</f>
        <v>0</v>
      </c>
      <c r="DR31" s="633">
        <f>IFERROR(SUM($DP31:$DQ31)*IF(INDEX(Premises!$A$42:$F$42,1,MATCH($CB31,Premises!$A$10:$F$10,0))&gt;0,INDEX(Premises!$A$42:$F$42,1,MATCH($CB31,Premises!$A$10:$F$10,0))%,$CN31),0)</f>
        <v>0</v>
      </c>
      <c r="DS31" s="633" cm="1">
        <f t="array" ref="DS31">IF($CB31=0,0,SUM($DP31:$DR31)*_xlfn.XLOOKUP($CB31,Premises!$A$10:$F$10,IF(INDEX(Settings[],MATCH(3001,Settings[ID],0),2)="B",Premises!$A$33:$F$33,Premises!$A$31:$F$31))/100)</f>
        <v>0</v>
      </c>
      <c r="DT31" s="633" cm="1">
        <f t="array" ref="DT31">IF($CB31=0,0,$DP31*_xlfn.XLOOKUP($CB31,Premises!$A$10:$F$10,IF(INDEX(Settings[],MATCH(3002,Settings[ID],0),2)="B",Premises!$A$36:$F$36,Premises!$A$34:$F$34))/100)</f>
        <v>0</v>
      </c>
      <c r="DU31" s="633">
        <f>IF($CB31=0,0,SUM($DP31:$DT31)*_xlfn.XLOOKUP($CB31,Premises!$A$10:$F$10,Premises!$A$37:$F$37)/100)</f>
        <v>0</v>
      </c>
      <c r="DV31" s="932">
        <f t="shared" si="93"/>
        <v>4.9568863017456916E-2</v>
      </c>
      <c r="DW31" s="929">
        <f>IF($CC31=0,0,$DV31*_xlfn.XLOOKUP($CC31,Premises!$A$10:$F$10,Premises!$A$30:$F$30)/100)</f>
        <v>0</v>
      </c>
      <c r="DX31" s="633">
        <f>IFERROR(SUM($DV31:$DW31)*IF(INDEX(Premises!$A$42:$F$42,1,MATCH($CC31,Premises!$A$10:$F$10,0))&gt;0,INDEX(Premises!$A$42:$F$42,1,MATCH($CC31,Premises!$A$10:$F$10,0))%,$CP31),0)</f>
        <v>0</v>
      </c>
      <c r="DY31" s="633" cm="1">
        <f t="array" ref="DY31">IF($CC31=0,0,SUM($DV31:$DX31)*_xlfn.XLOOKUP($CC31,Premises!$A$10:$F$10,IF(INDEX(Settings[],MATCH(3001,Settings[ID],0),2)="B",Premises!$A$33:$F$33,Premises!$A$31:$F$31))/100)</f>
        <v>0</v>
      </c>
      <c r="DZ31" s="633" cm="1">
        <f t="array" ref="DZ31">IF($CC31=0,0,$DV31*_xlfn.XLOOKUP($CC31,Premises!$A$10:$F$10,IF(INDEX(Settings[],MATCH(3002,Settings[ID],0),2)="B",Premises!$A$36:$F$36,Premises!$A$34:$F$34))/100)</f>
        <v>0</v>
      </c>
      <c r="EA31" s="633">
        <f>IF($CC31=0,0,SUM($DV31:$DZ31)*_xlfn.XLOOKUP($CC31,Premises!$A$10:$F$10,Premises!$A$37:$F$37)/100)</f>
        <v>0</v>
      </c>
      <c r="EB31" s="634">
        <f t="shared" si="94"/>
        <v>4.9568863017456916E-2</v>
      </c>
      <c r="EC31" s="783"/>
      <c r="ED31" s="1082"/>
      <c r="EE31" s="633"/>
      <c r="EF31" s="1088"/>
      <c r="EG31" s="1086"/>
      <c r="EH31" s="1086"/>
      <c r="EI31" s="1086"/>
      <c r="EJ31" s="1086"/>
      <c r="EK31" s="1086"/>
      <c r="EL31" s="1086"/>
      <c r="EM31" s="1088"/>
      <c r="EN31" s="1086"/>
      <c r="EO31" s="1086"/>
      <c r="EP31" s="1086"/>
      <c r="EQ31" s="1086"/>
      <c r="ER31" s="1088"/>
      <c r="ES31" s="1086"/>
      <c r="ET31" s="1086"/>
      <c r="EU31" s="1086"/>
      <c r="EV31" s="1086"/>
      <c r="EW31" s="1086"/>
      <c r="EX31" s="1089"/>
      <c r="EY31" s="2"/>
      <c r="EZ31" s="2"/>
      <c r="FA31" s="2"/>
      <c r="FB31" s="2"/>
      <c r="FC31" s="2"/>
      <c r="FD31" s="2"/>
      <c r="FE31" s="2"/>
      <c r="FF31" s="2"/>
      <c r="FG31" s="2"/>
      <c r="FH31" s="2"/>
      <c r="FI31" s="2"/>
      <c r="FJ31" s="403"/>
      <c r="FK31" s="404"/>
      <c r="FL31" s="405"/>
      <c r="FM31" s="1133"/>
    </row>
    <row r="32" spans="1:169" s="13" customFormat="1" ht="12.75" customHeight="1">
      <c r="A32" s="215"/>
      <c r="B32" s="385"/>
      <c r="C32" s="386"/>
      <c r="D32" s="629"/>
      <c r="E32" s="387"/>
      <c r="F32" s="388"/>
      <c r="G32" s="388"/>
      <c r="H32" s="388"/>
      <c r="I32" s="620" cm="1">
        <f t="array" ref="I32">IF($CI32=0,0,IFERROR(INDEX(MHR[],$CI32,MATCH($CA32,MHR!$B$4:$AY$4,0)),0))</f>
        <v>0</v>
      </c>
      <c r="J32" s="617">
        <f t="shared" si="48"/>
        <v>0</v>
      </c>
      <c r="K32" s="389"/>
      <c r="L32" s="390"/>
      <c r="M32" s="849"/>
      <c r="N32" s="390"/>
      <c r="O32" s="388"/>
      <c r="P32" s="628">
        <v>3334</v>
      </c>
      <c r="Q32" s="620">
        <v>16.537500000000001</v>
      </c>
      <c r="R32" s="617">
        <v>3.5516584183163374E-3</v>
      </c>
      <c r="S32" s="391"/>
      <c r="T32" s="392"/>
      <c r="U32" s="620" cm="1">
        <f t="array" ref="U32">IF(COUNTBLANK($S32:$T32),0,
IF(AND(INDEX(MHR[Schichtmodell],$CI32)&lt;&gt;0,INDEX(MHR[Schichtmodell],$CI32)&lt;&gt;INDEX(Premises!$A$20:$F$20,1,$CH32)),ExchangeRate*
IF(OR($T32="M",$T32="U"),IF(INDEX(MHR[Schichtmodell],$CI32)=1,INDEX(LOC[M1S],INDEX(Premises!$A$18:$F$18,1,$CH32+1)),IF(INDEX(MHR[Schichtmodell],$CI32)=2,INDEX(LOC[M2S],INDEX(Premises!$A$18:$F$18,1,$CH32+1),IF(INDEX(MHR[Schichtmodell],$CI32)=3,INDEX(LOC[M3S],INDEX(Premises!$A$18:$F$18,1,$CH32+1)),0)))),
IF(INDEX(MHR[Schichtmodell],$CI32)=1,INDEX(LOC[F1S],INDEX(Premises!$A$18:$F$18,1,$CH32+1)),IF(INDEX(MHR[Schichtmodell],$CI32)=2,INDEX(LOC[F2S],INDEX(Premises!$A$18:$F$18,1,$CH32+1)),IF(INDEX(MHR[Schichtmodell],$CI32)=3,INDEX(LOC[F3S],INDEX(Premises!$A$18:$F$18,1,$CH32+1)),0)))),
IF(OR($T32="M",$T32="U"),INDEX(Premises!$A$21:$F$21,1,$CH32),
IF(OR($T32="F",$T32="S"),INDEX(Premises!$A$22:$F$22,1,$CH32),0)))*100/INDEX(Premises!$A$16:$F$16,1,$CH32))</f>
        <v>0</v>
      </c>
      <c r="V32" s="614">
        <f t="shared" si="49"/>
        <v>0</v>
      </c>
      <c r="W32" s="393"/>
      <c r="X32" s="386"/>
      <c r="Y32" s="394"/>
      <c r="Z32" s="395"/>
      <c r="AA32" s="611">
        <f t="shared" si="50"/>
        <v>0</v>
      </c>
      <c r="AB32" s="393"/>
      <c r="AC32" s="386"/>
      <c r="AD32" s="394"/>
      <c r="AE32" s="396"/>
      <c r="AF32" s="611">
        <f t="shared" si="51"/>
        <v>0</v>
      </c>
      <c r="AG32" s="612" cm="1">
        <f t="array" ref="AG32">IF(($J32+$V32+$AF32)=0,0,INDEX(Premises!$A$30:$F$30,1,$CH32)/100)</f>
        <v>0</v>
      </c>
      <c r="AH32" s="397"/>
      <c r="AI32" s="398"/>
      <c r="AJ32" s="399"/>
      <c r="AK32" s="613">
        <f t="shared" si="52"/>
        <v>0</v>
      </c>
      <c r="AL32" s="614">
        <f t="shared" si="53"/>
        <v>0</v>
      </c>
      <c r="AM32" s="615" cm="1">
        <f t="array" ref="AM32">IF($CI32=0,0,IFERROR(INDEX(MHR[],$CI32,MATCH($CA32,MHR!$B$4:$AY$4,0)+11),0))</f>
        <v>0</v>
      </c>
      <c r="AN32" s="616" cm="1">
        <f t="array" ref="AN32">IF(($J32+$V32)=0,0,IFERROR(IF(INDEX(Premises!$A$41:$F$41,1,$CH32)&lt;&gt;0,INDEX(Premises!$A$41:$F$41,1,$CH32)/100,(IFERROR(($J32/$I32)*$AM32,0)/($V32+$J32+$R32+$AL32))),0))</f>
        <v>0</v>
      </c>
      <c r="AO32" s="617">
        <f t="shared" si="54"/>
        <v>0</v>
      </c>
      <c r="AP32" s="618">
        <f t="shared" si="55"/>
        <v>3.5516584183163374E-3</v>
      </c>
      <c r="AQ32" s="393"/>
      <c r="AR32" s="392"/>
      <c r="AS32" s="619" cm="1">
        <f t="array" ref="AS32">IF($CJ32=0,0,IFERROR(INDEX(MAT[Einheit],$CJ32,1),0))</f>
        <v>0</v>
      </c>
      <c r="AT32" s="620" cm="1">
        <f t="array" ref="AT32">IF($CJ32=0,0,IFERROR(INDEX(MAT[Preis],$CJ32,1),0))</f>
        <v>0</v>
      </c>
      <c r="AU32" s="621">
        <f t="shared" si="56"/>
        <v>0</v>
      </c>
      <c r="AV32" s="622" cm="1">
        <f t="array" ref="AV32">IF($AU32&lt;=0,0,INDEX(Premises!$A$30:$F$30,1,$CH32)/100)</f>
        <v>0</v>
      </c>
      <c r="AW32" s="392"/>
      <c r="AX32" s="614">
        <f t="shared" si="57"/>
        <v>0</v>
      </c>
      <c r="AY32" s="623" cm="1">
        <f t="array" ref="AY32">IF($AT32&lt;=0,0,IFERROR(IF(INDEX(Premises!$A$42:$F$42,1,$CH32)&lt;&gt;0,INDEX(Premises!$A$42:$F$42,1,$CH32)/100,(INDEX(MAT[],$CJ32,MATCH($CA32,MAT!$B$4:$AE$4,0))/($AR32*$CK32*INDEX(Premises!$A$13:$F$13,1,$CH32))+INDEX(MAT[],$CJ32,MATCH($CA32,MAT!$B$4:$AE$4,0)+7))/$AT32),0))</f>
        <v>0</v>
      </c>
      <c r="AZ32" s="614">
        <f t="shared" si="58"/>
        <v>0</v>
      </c>
      <c r="BA32" s="618">
        <f t="shared" si="59"/>
        <v>0</v>
      </c>
      <c r="BB32" s="618">
        <f t="shared" si="60"/>
        <v>3.5516584183163374E-3</v>
      </c>
      <c r="BC32" s="622" cm="1">
        <f t="array" ref="BC32">IF($BB32&lt;=0,0,IF(BC$2=-1,0,INDEX(Premises!$A$32:$F$32,1,$CH32)/100))</f>
        <v>0</v>
      </c>
      <c r="BD32" s="614">
        <f t="shared" si="61"/>
        <v>0</v>
      </c>
      <c r="BE32" s="622" cm="1">
        <f t="array" ref="BE32">IF($BB32&lt;=0,0,IF(BE$2=-1,0,INDEX(Premises!$A$33:$F$33,1,$CH32)/100))</f>
        <v>0</v>
      </c>
      <c r="BF32" s="614">
        <f t="shared" si="62"/>
        <v>0</v>
      </c>
      <c r="BG32" s="622" cm="1">
        <f t="array" ref="BG32">IF($BB32&lt;=0,0,IF(BG$2=-1,0,INDEX(Premises!$A$31:$F$31,1,$CH32)/100))</f>
        <v>0.1</v>
      </c>
      <c r="BH32" s="614">
        <f t="shared" si="63"/>
        <v>3.5516584183163376E-4</v>
      </c>
      <c r="BI32" s="618">
        <f t="shared" si="64"/>
        <v>3.9068242601479715E-3</v>
      </c>
      <c r="BJ32" s="622" cm="1">
        <f t="array" ref="BJ32">IF($BB32&lt;=0,0,IF(BJ$2=-1,0,INDEX(Premises!$A$35:$F$35,1,$CH32)/100))</f>
        <v>0</v>
      </c>
      <c r="BK32" s="614">
        <f t="shared" si="65"/>
        <v>0</v>
      </c>
      <c r="BL32" s="622" cm="1">
        <f t="array" ref="BL32">IF($BB32&lt;=0,0,IF(BL$2=-1,0,INDEX(Premises!$A$36:$F$36,1,$CH32)/100))</f>
        <v>0</v>
      </c>
      <c r="BM32" s="614">
        <f t="shared" si="66"/>
        <v>0</v>
      </c>
      <c r="BN32" s="622" cm="1">
        <f t="array" ref="BN32">IF($BB32&lt;=0,0,IF(BN$2=-1,0,INDEX(Premises!$A$34:$F$34,1,$CH32)/100))</f>
        <v>0.06</v>
      </c>
      <c r="BO32" s="614">
        <f t="shared" si="67"/>
        <v>2.1309950509898023E-4</v>
      </c>
      <c r="BP32" s="622" cm="1">
        <f t="array" ref="BP32">IF($BI32=0,0,INDEX(Premises!$A$37:$F$37,1,$CH32)/100)</f>
        <v>0</v>
      </c>
      <c r="BQ32" s="392"/>
      <c r="BR32" s="614">
        <f t="shared" si="68"/>
        <v>0</v>
      </c>
      <c r="BS32" s="624">
        <f t="shared" si="69"/>
        <v>4.1199237652469519E-3</v>
      </c>
      <c r="BT32" s="624">
        <f t="shared" si="70"/>
        <v>4.1199237652469519E-3</v>
      </c>
      <c r="BU32" s="625">
        <f t="shared" si="71"/>
        <v>1</v>
      </c>
      <c r="BV32" s="1127"/>
      <c r="BW32" s="401"/>
      <c r="BX32" s="401"/>
      <c r="BY32" s="402"/>
      <c r="BZ32" s="946"/>
      <c r="CA32" s="263" cm="1">
        <f t="array" ref="CA32">IF($BZ32&gt;0,VALUE(LEFT($BZ32,IF(ISERROR(FIND("-",$BZ32)),LEN($BZ32),FIND("-",$BZ32)-1))),INDEX($CA$1:$CA32,MAX(1,$CD32)))</f>
        <v>1</v>
      </c>
      <c r="CB32" s="263" cm="1">
        <f t="array" ref="CB32">IF($BT32=0,0,IF(LEN($BZ32)-LEN(SUBSTITUTE($BZ32,"-",""))&gt;1,
VALUE(MID($BZ32,FIND("-",$BZ32)+1,FIND("-",$BZ32,FIND("-",$BZ32)+1)-FIND("-",$BZ32)-1)),IF($BZ32&gt;0,0,INDEX($CB$1:$CB32,MAX(1,$CD32)))))</f>
        <v>0</v>
      </c>
      <c r="CC32" s="263" cm="1">
        <f t="array" ref="CC32">IF($BT32=0,0,IF(NOT(ISERROR(FIND("-",BZ32))),
VALUE(RIGHT($BZ32,LEN($BZ32)-IF(LEN($BZ32)-LEN(SUBSTITUTE($BZ32,"-",""))=1,FIND("-",$BZ32),FIND("-",$BZ32,FIND("-",$BZ32)+1)))),
IF($BZ32&gt;0,0,INDEX($CC$1:$CC32,MAX(1,$CD32)))))</f>
        <v>0</v>
      </c>
      <c r="CD32" s="376">
        <f>MATCH(0,$CE$1:$CE32,-1)</f>
        <v>26</v>
      </c>
      <c r="CE32" s="263"/>
      <c r="CF32" s="377"/>
      <c r="CG32" s="376" cm="1">
        <f t="array" ref="CG32">INDEX($CG$1:$CG32,$CD32)</f>
        <v>5</v>
      </c>
      <c r="CH32" s="263">
        <f>MATCH($CA32,Premises!$A$10:$F$10,0)</f>
        <v>4</v>
      </c>
      <c r="CI32" s="263">
        <f>IF(ISBLANK($E32),0,IFERROR(MATCH($E32,MHR[Bezeichnung],0),0))</f>
        <v>0</v>
      </c>
      <c r="CJ32" s="377">
        <f>IF(ISBLANK($AQ32),0,IFERROR(MATCH($AQ32,MAT[Bezeichnung],0),0))</f>
        <v>0</v>
      </c>
      <c r="CK32" s="263" cm="1">
        <f t="array" ref="CK32">INDEX($D$1:$D32,$CD32)</f>
        <v>1</v>
      </c>
      <c r="CL32" s="263"/>
      <c r="CM32" s="378"/>
      <c r="CN32" s="379" cm="1">
        <f t="array" ref="CN32">IF($CB32=0,0,IF($CB32=INDEX($CB$1:$CB32,$CD32),INDEX($CN$1:$CN32,$CD32),$CP32))</f>
        <v>0</v>
      </c>
      <c r="CO32" s="378"/>
      <c r="CP32" s="379" cm="1">
        <f t="array" ref="CP32">IF($CC32=0,0,INDEX($CP$1:$CP32,$CD32))</f>
        <v>0</v>
      </c>
      <c r="CQ32" s="380"/>
      <c r="CR32" s="381"/>
      <c r="CS32" s="381"/>
      <c r="CT32" s="1132"/>
      <c r="CU32" s="1129"/>
      <c r="CV32" s="630">
        <f t="shared" si="72"/>
        <v>0</v>
      </c>
      <c r="CW32" s="631">
        <f t="shared" si="73"/>
        <v>3.5516584183163374E-3</v>
      </c>
      <c r="CX32" s="631">
        <f t="shared" si="74"/>
        <v>0</v>
      </c>
      <c r="CY32" s="631">
        <f t="shared" si="75"/>
        <v>0</v>
      </c>
      <c r="CZ32" s="631">
        <f t="shared" si="76"/>
        <v>0</v>
      </c>
      <c r="DA32" s="631">
        <f t="shared" si="77"/>
        <v>0</v>
      </c>
      <c r="DB32" s="631">
        <f t="shared" si="78"/>
        <v>0</v>
      </c>
      <c r="DC32" s="632">
        <f t="shared" si="79"/>
        <v>3.5516584183163374E-3</v>
      </c>
      <c r="DD32" s="631">
        <f t="shared" si="80"/>
        <v>0</v>
      </c>
      <c r="DE32" s="631">
        <f t="shared" si="81"/>
        <v>0</v>
      </c>
      <c r="DF32" s="631">
        <f t="shared" si="82"/>
        <v>0</v>
      </c>
      <c r="DG32" s="632">
        <f t="shared" si="83"/>
        <v>0</v>
      </c>
      <c r="DH32" s="632">
        <f t="shared" si="84"/>
        <v>3.5516584183163374E-3</v>
      </c>
      <c r="DI32" s="631">
        <f t="shared" si="85"/>
        <v>0</v>
      </c>
      <c r="DJ32" s="631">
        <f t="shared" si="86"/>
        <v>0</v>
      </c>
      <c r="DK32" s="631">
        <f t="shared" si="87"/>
        <v>3.5516584183163376E-4</v>
      </c>
      <c r="DL32" s="631">
        <f t="shared" si="88"/>
        <v>0</v>
      </c>
      <c r="DM32" s="631">
        <f t="shared" si="89"/>
        <v>0</v>
      </c>
      <c r="DN32" s="631">
        <f t="shared" si="90"/>
        <v>2.1309950509898023E-4</v>
      </c>
      <c r="DO32" s="631">
        <f t="shared" si="91"/>
        <v>0</v>
      </c>
      <c r="DP32" s="634">
        <f t="shared" si="92"/>
        <v>4.1199237652469519E-3</v>
      </c>
      <c r="DQ32" s="929">
        <f>IF($CB32=0,0,$DP32*_xlfn.XLOOKUP($CB32,Premises!$A$10:$F$10,Premises!$A$30:$F$30)/100)</f>
        <v>0</v>
      </c>
      <c r="DR32" s="633">
        <f>IFERROR(SUM($DP32:$DQ32)*IF(INDEX(Premises!$A$42:$F$42,1,MATCH($CB32,Premises!$A$10:$F$10,0))&gt;0,INDEX(Premises!$A$42:$F$42,1,MATCH($CB32,Premises!$A$10:$F$10,0))%,$CN32),0)</f>
        <v>0</v>
      </c>
      <c r="DS32" s="633" cm="1">
        <f t="array" ref="DS32">IF($CB32=0,0,SUM($DP32:$DR32)*_xlfn.XLOOKUP($CB32,Premises!$A$10:$F$10,IF(INDEX(Settings[],MATCH(3001,Settings[ID],0),2)="B",Premises!$A$33:$F$33,Premises!$A$31:$F$31))/100)</f>
        <v>0</v>
      </c>
      <c r="DT32" s="633" cm="1">
        <f t="array" ref="DT32">IF($CB32=0,0,$DP32*_xlfn.XLOOKUP($CB32,Premises!$A$10:$F$10,IF(INDEX(Settings[],MATCH(3002,Settings[ID],0),2)="B",Premises!$A$36:$F$36,Premises!$A$34:$F$34))/100)</f>
        <v>0</v>
      </c>
      <c r="DU32" s="633">
        <f>IF($CB32=0,0,SUM($DP32:$DT32)*_xlfn.XLOOKUP($CB32,Premises!$A$10:$F$10,Premises!$A$37:$F$37)/100)</f>
        <v>0</v>
      </c>
      <c r="DV32" s="932">
        <f t="shared" si="93"/>
        <v>4.1199237652469519E-3</v>
      </c>
      <c r="DW32" s="929">
        <f>IF($CC32=0,0,$DV32*_xlfn.XLOOKUP($CC32,Premises!$A$10:$F$10,Premises!$A$30:$F$30)/100)</f>
        <v>0</v>
      </c>
      <c r="DX32" s="633">
        <f>IFERROR(SUM($DV32:$DW32)*IF(INDEX(Premises!$A$42:$F$42,1,MATCH($CC32,Premises!$A$10:$F$10,0))&gt;0,INDEX(Premises!$A$42:$F$42,1,MATCH($CC32,Premises!$A$10:$F$10,0))%,$CP32),0)</f>
        <v>0</v>
      </c>
      <c r="DY32" s="633" cm="1">
        <f t="array" ref="DY32">IF($CC32=0,0,SUM($DV32:$DX32)*_xlfn.XLOOKUP($CC32,Premises!$A$10:$F$10,IF(INDEX(Settings[],MATCH(3001,Settings[ID],0),2)="B",Premises!$A$33:$F$33,Premises!$A$31:$F$31))/100)</f>
        <v>0</v>
      </c>
      <c r="DZ32" s="633" cm="1">
        <f t="array" ref="DZ32">IF($CC32=0,0,$DV32*_xlfn.XLOOKUP($CC32,Premises!$A$10:$F$10,IF(INDEX(Settings[],MATCH(3002,Settings[ID],0),2)="B",Premises!$A$36:$F$36,Premises!$A$34:$F$34))/100)</f>
        <v>0</v>
      </c>
      <c r="EA32" s="633">
        <f>IF($CC32=0,0,SUM($DV32:$DZ32)*_xlfn.XLOOKUP($CC32,Premises!$A$10:$F$10,Premises!$A$37:$F$37)/100)</f>
        <v>0</v>
      </c>
      <c r="EB32" s="634">
        <f t="shared" si="94"/>
        <v>4.1199237652469519E-3</v>
      </c>
      <c r="EC32" s="783"/>
      <c r="ED32" s="1082"/>
      <c r="EE32" s="633"/>
      <c r="EF32" s="1088"/>
      <c r="EG32" s="1086"/>
      <c r="EH32" s="1086"/>
      <c r="EI32" s="1086"/>
      <c r="EJ32" s="1086"/>
      <c r="EK32" s="1086"/>
      <c r="EL32" s="1086"/>
      <c r="EM32" s="1088"/>
      <c r="EN32" s="1086"/>
      <c r="EO32" s="1086"/>
      <c r="EP32" s="1086"/>
      <c r="EQ32" s="1086"/>
      <c r="ER32" s="1088"/>
      <c r="ES32" s="1086"/>
      <c r="ET32" s="1086"/>
      <c r="EU32" s="1086"/>
      <c r="EV32" s="1086"/>
      <c r="EW32" s="1086"/>
      <c r="EX32" s="1089"/>
      <c r="EY32" s="2"/>
      <c r="EZ32" s="2"/>
      <c r="FA32" s="2"/>
      <c r="FB32" s="2"/>
      <c r="FC32" s="2"/>
      <c r="FD32" s="2"/>
      <c r="FE32" s="2"/>
      <c r="FF32" s="2"/>
      <c r="FG32" s="2"/>
      <c r="FH32" s="2"/>
      <c r="FI32" s="2"/>
      <c r="FJ32" s="403"/>
      <c r="FK32" s="404"/>
      <c r="FL32" s="405"/>
      <c r="FM32" s="1133"/>
    </row>
    <row r="33" spans="1:169" s="13" customFormat="1" ht="12.75" customHeight="1">
      <c r="A33" s="215"/>
      <c r="B33" s="385" t="s">
        <v>4132</v>
      </c>
      <c r="C33" s="386"/>
      <c r="D33" s="629"/>
      <c r="E33" s="387" t="s">
        <v>4141</v>
      </c>
      <c r="F33" s="388">
        <v>25</v>
      </c>
      <c r="G33" s="388" t="s">
        <v>93</v>
      </c>
      <c r="H33" s="388">
        <v>30</v>
      </c>
      <c r="I33" s="620" cm="1">
        <f t="array" ref="I33">IF($CI33=0,0,IFERROR(INDEX(MHR[],$CI33,MATCH($CA33,MHR!$B$4:$AY$4,0)),0))</f>
        <v>8.3125140625</v>
      </c>
      <c r="J33" s="617">
        <f t="shared" si="48"/>
        <v>1.9241930700231481E-3</v>
      </c>
      <c r="K33" s="389" t="s">
        <v>49</v>
      </c>
      <c r="L33" s="390">
        <v>30</v>
      </c>
      <c r="M33" s="849">
        <v>1</v>
      </c>
      <c r="N33" s="390"/>
      <c r="O33" s="388"/>
      <c r="P33" s="628">
        <v>3334</v>
      </c>
      <c r="Q33" s="620">
        <v>16.537500000000001</v>
      </c>
      <c r="R33" s="617">
        <v>3.8656054726554693E-3</v>
      </c>
      <c r="S33" s="391">
        <v>0.25</v>
      </c>
      <c r="T33" s="392" t="s">
        <v>275</v>
      </c>
      <c r="U33" s="620" cm="1">
        <f t="array" ref="U33">IF(COUNTBLANK($S33:$T33),0,
IF(AND(INDEX(MHR[Schichtmodell],$CI33)&lt;&gt;0,INDEX(MHR[Schichtmodell],$CI33)&lt;&gt;INDEX(Premises!$A$20:$F$20,1,$CH33)),ExchangeRate*
IF(OR($T33="M",$T33="U"),IF(INDEX(MHR[Schichtmodell],$CI33)=1,INDEX(LOC[M1S],INDEX(Premises!$A$18:$F$18,1,$CH33+1)),IF(INDEX(MHR[Schichtmodell],$CI33)=2,INDEX(LOC[M2S],INDEX(Premises!$A$18:$F$18,1,$CH33+1),IF(INDEX(MHR[Schichtmodell],$CI33)=3,INDEX(LOC[M3S],INDEX(Premises!$A$18:$F$18,1,$CH33+1)),0)))),
IF(INDEX(MHR[Schichtmodell],$CI33)=1,INDEX(LOC[F1S],INDEX(Premises!$A$18:$F$18,1,$CH33+1)),IF(INDEX(MHR[Schichtmodell],$CI33)=2,INDEX(LOC[F2S],INDEX(Premises!$A$18:$F$18,1,$CH33+1)),IF(INDEX(MHR[Schichtmodell],$CI33)=3,INDEX(LOC[F3S],INDEX(Premises!$A$18:$F$18,1,$CH33+1)),0)))),
IF(OR($T33="M",$T33="U"),INDEX(Premises!$A$21:$F$21,1,$CH33),
IF(OR($T33="F",$T33="S"),INDEX(Premises!$A$22:$F$22,1,$CH33),0)))*100/INDEX(Premises!$A$16:$F$16,1,$CH33))</f>
        <v>11.762499999999999</v>
      </c>
      <c r="V33" s="614">
        <f t="shared" si="49"/>
        <v>6.8070023148148146E-4</v>
      </c>
      <c r="W33" s="393"/>
      <c r="X33" s="386"/>
      <c r="Y33" s="394"/>
      <c r="Z33" s="395"/>
      <c r="AA33" s="611">
        <f t="shared" si="50"/>
        <v>0</v>
      </c>
      <c r="AB33" s="393"/>
      <c r="AC33" s="386"/>
      <c r="AD33" s="394"/>
      <c r="AE33" s="396"/>
      <c r="AF33" s="611">
        <f t="shared" si="51"/>
        <v>0</v>
      </c>
      <c r="AG33" s="612" cm="1">
        <f t="array" ref="AG33">IF(($J33+$V33+$AF33)=0,0,INDEX(Premises!$A$30:$F$30,1,$CH33)/100)</f>
        <v>0.01</v>
      </c>
      <c r="AH33" s="397"/>
      <c r="AI33" s="398"/>
      <c r="AJ33" s="399"/>
      <c r="AK33" s="613">
        <f t="shared" si="52"/>
        <v>0</v>
      </c>
      <c r="AL33" s="614">
        <f t="shared" si="53"/>
        <v>2.6048933015046294E-5</v>
      </c>
      <c r="AM33" s="615" cm="1">
        <f t="array" ref="AM33">IF($CI33=0,0,IFERROR(INDEX(MHR[],$CI33,MATCH($CA33,MHR!$B$4:$AY$4,0)+11),0))</f>
        <v>2.0910580762755693</v>
      </c>
      <c r="AN33" s="616" cm="1">
        <f t="array" ref="AN33">IF(($J33+$V33)=0,0,IFERROR(IF(INDEX(Premises!$A$41:$F$41,1,$CH33)&lt;&gt;0,INDEX(Premises!$A$41:$F$41,1,$CH33)/100,(IFERROR(($J33/$I33)*$AM33,0)/($V33+$J33+$R33+$AL33))),0))</f>
        <v>7.4507452754558195E-2</v>
      </c>
      <c r="AO33" s="617">
        <f t="shared" si="54"/>
        <v>4.8404122136008553E-4</v>
      </c>
      <c r="AP33" s="618">
        <f t="shared" si="55"/>
        <v>6.9805889285352307E-3</v>
      </c>
      <c r="AQ33" s="393"/>
      <c r="AR33" s="392"/>
      <c r="AS33" s="619" cm="1">
        <f t="array" ref="AS33">IF($CJ33=0,0,IFERROR(INDEX(MAT[Einheit],$CJ33,1),0))</f>
        <v>0</v>
      </c>
      <c r="AT33" s="620" cm="1">
        <f t="array" ref="AT33">IF($CJ33=0,0,IFERROR(INDEX(MAT[Preis],$CJ33,1),0))</f>
        <v>0</v>
      </c>
      <c r="AU33" s="621">
        <f t="shared" si="56"/>
        <v>0</v>
      </c>
      <c r="AV33" s="622" cm="1">
        <f t="array" ref="AV33">IF($AU33&lt;=0,0,INDEX(Premises!$A$30:$F$30,1,$CH33)/100)</f>
        <v>0</v>
      </c>
      <c r="AW33" s="392"/>
      <c r="AX33" s="614">
        <f t="shared" si="57"/>
        <v>0</v>
      </c>
      <c r="AY33" s="623" cm="1">
        <f t="array" ref="AY33">IF($AT33&lt;=0,0,IFERROR(IF(INDEX(Premises!$A$42:$F$42,1,$CH33)&lt;&gt;0,INDEX(Premises!$A$42:$F$42,1,$CH33)/100,(INDEX(MAT[],$CJ33,MATCH($CA33,MAT!$B$4:$AE$4,0))/($AR33*$CK33*INDEX(Premises!$A$13:$F$13,1,$CH33))+INDEX(MAT[],$CJ33,MATCH($CA33,MAT!$B$4:$AE$4,0)+7))/$AT33),0))</f>
        <v>0</v>
      </c>
      <c r="AZ33" s="614">
        <f t="shared" si="58"/>
        <v>0</v>
      </c>
      <c r="BA33" s="618">
        <f t="shared" si="59"/>
        <v>0</v>
      </c>
      <c r="BB33" s="618">
        <f t="shared" si="60"/>
        <v>6.9805889285352307E-3</v>
      </c>
      <c r="BC33" s="622" cm="1">
        <f t="array" ref="BC33">IF($BB33&lt;=0,0,IF(BC$2=-1,0,INDEX(Premises!$A$32:$F$32,1,$CH33)/100))</f>
        <v>0</v>
      </c>
      <c r="BD33" s="614">
        <f t="shared" si="61"/>
        <v>0</v>
      </c>
      <c r="BE33" s="622" cm="1">
        <f t="array" ref="BE33">IF($BB33&lt;=0,0,IF(BE$2=-1,0,INDEX(Premises!$A$33:$F$33,1,$CH33)/100))</f>
        <v>0</v>
      </c>
      <c r="BF33" s="614">
        <f t="shared" si="62"/>
        <v>0</v>
      </c>
      <c r="BG33" s="622" cm="1">
        <f t="array" ref="BG33">IF($BB33&lt;=0,0,IF(BG$2=-1,0,INDEX(Premises!$A$31:$F$31,1,$CH33)/100))</f>
        <v>0.1</v>
      </c>
      <c r="BH33" s="614">
        <f t="shared" si="63"/>
        <v>6.9545399955201848E-4</v>
      </c>
      <c r="BI33" s="618">
        <f t="shared" si="64"/>
        <v>7.6760429280872495E-3</v>
      </c>
      <c r="BJ33" s="622" cm="1">
        <f t="array" ref="BJ33">IF($BB33&lt;=0,0,IF(BJ$2=-1,0,INDEX(Premises!$A$35:$F$35,1,$CH33)/100))</f>
        <v>0</v>
      </c>
      <c r="BK33" s="614">
        <f t="shared" si="65"/>
        <v>0</v>
      </c>
      <c r="BL33" s="622" cm="1">
        <f t="array" ref="BL33">IF($BB33&lt;=0,0,IF(BL$2=-1,0,INDEX(Premises!$A$36:$F$36,1,$CH33)/100))</f>
        <v>0</v>
      </c>
      <c r="BM33" s="614">
        <f t="shared" si="66"/>
        <v>0</v>
      </c>
      <c r="BN33" s="622" cm="1">
        <f t="array" ref="BN33">IF($BB33&lt;=0,0,IF(BN$2=-1,0,INDEX(Premises!$A$34:$F$34,1,$CH33)/100))</f>
        <v>0.06</v>
      </c>
      <c r="BO33" s="614">
        <f t="shared" si="67"/>
        <v>4.1727239973121108E-4</v>
      </c>
      <c r="BP33" s="622" cm="1">
        <f t="array" ref="BP33">IF($BI33=0,0,INDEX(Premises!$A$37:$F$37,1,$CH33)/100)</f>
        <v>0</v>
      </c>
      <c r="BQ33" s="392"/>
      <c r="BR33" s="614">
        <f t="shared" si="68"/>
        <v>0</v>
      </c>
      <c r="BS33" s="624">
        <f t="shared" si="69"/>
        <v>8.0933153278184601E-3</v>
      </c>
      <c r="BT33" s="624">
        <f t="shared" si="70"/>
        <v>8.0933153278184601E-3</v>
      </c>
      <c r="BU33" s="625">
        <f t="shared" si="71"/>
        <v>1</v>
      </c>
      <c r="BV33" s="1127"/>
      <c r="BW33" s="401"/>
      <c r="BX33" s="401"/>
      <c r="BY33" s="402"/>
      <c r="BZ33" s="946"/>
      <c r="CA33" s="263" cm="1">
        <f t="array" ref="CA33">IF($BZ33&gt;0,VALUE(LEFT($BZ33,IF(ISERROR(FIND("-",$BZ33)),LEN($BZ33),FIND("-",$BZ33)-1))),INDEX($CA$1:$CA33,MAX(1,$CD33)))</f>
        <v>1</v>
      </c>
      <c r="CB33" s="263" cm="1">
        <f t="array" ref="CB33">IF($BT33=0,0,IF(LEN($BZ33)-LEN(SUBSTITUTE($BZ33,"-",""))&gt;1,
VALUE(MID($BZ33,FIND("-",$BZ33)+1,FIND("-",$BZ33,FIND("-",$BZ33)+1)-FIND("-",$BZ33)-1)),IF($BZ33&gt;0,0,INDEX($CB$1:$CB33,MAX(1,$CD33)))))</f>
        <v>0</v>
      </c>
      <c r="CC33" s="263" cm="1">
        <f t="array" ref="CC33">IF($BT33=0,0,IF(NOT(ISERROR(FIND("-",BZ33))),
VALUE(RIGHT($BZ33,LEN($BZ33)-IF(LEN($BZ33)-LEN(SUBSTITUTE($BZ33,"-",""))=1,FIND("-",$BZ33),FIND("-",$BZ33,FIND("-",$BZ33)+1)))),
IF($BZ33&gt;0,0,INDEX($CC$1:$CC33,MAX(1,$CD33)))))</f>
        <v>0</v>
      </c>
      <c r="CD33" s="376">
        <f>MATCH(0,$CE$1:$CE33,-1)</f>
        <v>26</v>
      </c>
      <c r="CE33" s="263"/>
      <c r="CF33" s="377"/>
      <c r="CG33" s="376" cm="1">
        <f t="array" ref="CG33">INDEX($CG$1:$CG33,$CD33)</f>
        <v>5</v>
      </c>
      <c r="CH33" s="263">
        <f>MATCH($CA33,Premises!$A$10:$F$10,0)</f>
        <v>4</v>
      </c>
      <c r="CI33" s="263">
        <f>IF(ISBLANK($E33),0,IFERROR(MATCH($E33,MHR[Bezeichnung],0),0))</f>
        <v>3</v>
      </c>
      <c r="CJ33" s="377">
        <f>IF(ISBLANK($AQ33),0,IFERROR(MATCH($AQ33,MAT[Bezeichnung],0),0))</f>
        <v>0</v>
      </c>
      <c r="CK33" s="263" cm="1">
        <f t="array" ref="CK33">INDEX($D$1:$D33,$CD33)</f>
        <v>1</v>
      </c>
      <c r="CL33" s="263"/>
      <c r="CM33" s="378"/>
      <c r="CN33" s="379" cm="1">
        <f t="array" ref="CN33">IF($CB33=0,0,IF($CB33=INDEX($CB$1:$CB33,$CD33),INDEX($CN$1:$CN33,$CD33),$CP33))</f>
        <v>0</v>
      </c>
      <c r="CO33" s="378"/>
      <c r="CP33" s="379" cm="1">
        <f t="array" ref="CP33">IF($CC33=0,0,INDEX($CP$1:$CP33,$CD33))</f>
        <v>0</v>
      </c>
      <c r="CQ33" s="380"/>
      <c r="CR33" s="381"/>
      <c r="CS33" s="381"/>
      <c r="CT33" s="1132"/>
      <c r="CU33" s="1129"/>
      <c r="CV33" s="630">
        <f t="shared" si="72"/>
        <v>1.9241930700231481E-3</v>
      </c>
      <c r="CW33" s="631">
        <f t="shared" si="73"/>
        <v>3.8656054726554693E-3</v>
      </c>
      <c r="CX33" s="631">
        <f t="shared" si="74"/>
        <v>6.8070023148148146E-4</v>
      </c>
      <c r="CY33" s="631">
        <f t="shared" si="75"/>
        <v>0</v>
      </c>
      <c r="CZ33" s="631">
        <f t="shared" si="76"/>
        <v>0</v>
      </c>
      <c r="DA33" s="631">
        <f t="shared" si="77"/>
        <v>2.6048933015046294E-5</v>
      </c>
      <c r="DB33" s="631">
        <f t="shared" si="78"/>
        <v>4.8404122136008553E-4</v>
      </c>
      <c r="DC33" s="632">
        <f t="shared" si="79"/>
        <v>6.9805889285352307E-3</v>
      </c>
      <c r="DD33" s="631">
        <f t="shared" si="80"/>
        <v>0</v>
      </c>
      <c r="DE33" s="631">
        <f t="shared" si="81"/>
        <v>0</v>
      </c>
      <c r="DF33" s="631">
        <f t="shared" si="82"/>
        <v>0</v>
      </c>
      <c r="DG33" s="632">
        <f t="shared" si="83"/>
        <v>0</v>
      </c>
      <c r="DH33" s="632">
        <f t="shared" si="84"/>
        <v>6.9805889285352307E-3</v>
      </c>
      <c r="DI33" s="631">
        <f t="shared" si="85"/>
        <v>0</v>
      </c>
      <c r="DJ33" s="631">
        <f t="shared" si="86"/>
        <v>0</v>
      </c>
      <c r="DK33" s="631">
        <f t="shared" si="87"/>
        <v>6.9545399955201848E-4</v>
      </c>
      <c r="DL33" s="631">
        <f t="shared" si="88"/>
        <v>0</v>
      </c>
      <c r="DM33" s="631">
        <f t="shared" si="89"/>
        <v>0</v>
      </c>
      <c r="DN33" s="631">
        <f t="shared" si="90"/>
        <v>4.1727239973121108E-4</v>
      </c>
      <c r="DO33" s="631">
        <f t="shared" si="91"/>
        <v>0</v>
      </c>
      <c r="DP33" s="634">
        <f t="shared" si="92"/>
        <v>8.0933153278184601E-3</v>
      </c>
      <c r="DQ33" s="929">
        <f>IF($CB33=0,0,$DP33*_xlfn.XLOOKUP($CB33,Premises!$A$10:$F$10,Premises!$A$30:$F$30)/100)</f>
        <v>0</v>
      </c>
      <c r="DR33" s="633">
        <f>IFERROR(SUM($DP33:$DQ33)*IF(INDEX(Premises!$A$42:$F$42,1,MATCH($CB33,Premises!$A$10:$F$10,0))&gt;0,INDEX(Premises!$A$42:$F$42,1,MATCH($CB33,Premises!$A$10:$F$10,0))%,$CN33),0)</f>
        <v>0</v>
      </c>
      <c r="DS33" s="633" cm="1">
        <f t="array" ref="DS33">IF($CB33=0,0,SUM($DP33:$DR33)*_xlfn.XLOOKUP($CB33,Premises!$A$10:$F$10,IF(INDEX(Settings[],MATCH(3001,Settings[ID],0),2)="B",Premises!$A$33:$F$33,Premises!$A$31:$F$31))/100)</f>
        <v>0</v>
      </c>
      <c r="DT33" s="633" cm="1">
        <f t="array" ref="DT33">IF($CB33=0,0,$DP33*_xlfn.XLOOKUP($CB33,Premises!$A$10:$F$10,IF(INDEX(Settings[],MATCH(3002,Settings[ID],0),2)="B",Premises!$A$36:$F$36,Premises!$A$34:$F$34))/100)</f>
        <v>0</v>
      </c>
      <c r="DU33" s="633">
        <f>IF($CB33=0,0,SUM($DP33:$DT33)*_xlfn.XLOOKUP($CB33,Premises!$A$10:$F$10,Premises!$A$37:$F$37)/100)</f>
        <v>0</v>
      </c>
      <c r="DV33" s="932">
        <f t="shared" si="93"/>
        <v>8.0933153278184601E-3</v>
      </c>
      <c r="DW33" s="929">
        <f>IF($CC33=0,0,$DV33*_xlfn.XLOOKUP($CC33,Premises!$A$10:$F$10,Premises!$A$30:$F$30)/100)</f>
        <v>0</v>
      </c>
      <c r="DX33" s="633">
        <f>IFERROR(SUM($DV33:$DW33)*IF(INDEX(Premises!$A$42:$F$42,1,MATCH($CC33,Premises!$A$10:$F$10,0))&gt;0,INDEX(Premises!$A$42:$F$42,1,MATCH($CC33,Premises!$A$10:$F$10,0))%,$CP33),0)</f>
        <v>0</v>
      </c>
      <c r="DY33" s="633" cm="1">
        <f t="array" ref="DY33">IF($CC33=0,0,SUM($DV33:$DX33)*_xlfn.XLOOKUP($CC33,Premises!$A$10:$F$10,IF(INDEX(Settings[],MATCH(3001,Settings[ID],0),2)="B",Premises!$A$33:$F$33,Premises!$A$31:$F$31))/100)</f>
        <v>0</v>
      </c>
      <c r="DZ33" s="633" cm="1">
        <f t="array" ref="DZ33">IF($CC33=0,0,$DV33*_xlfn.XLOOKUP($CC33,Premises!$A$10:$F$10,IF(INDEX(Settings[],MATCH(3002,Settings[ID],0),2)="B",Premises!$A$36:$F$36,Premises!$A$34:$F$34))/100)</f>
        <v>0</v>
      </c>
      <c r="EA33" s="633">
        <f>IF($CC33=0,0,SUM($DV33:$DZ33)*_xlfn.XLOOKUP($CC33,Premises!$A$10:$F$10,Premises!$A$37:$F$37)/100)</f>
        <v>0</v>
      </c>
      <c r="EB33" s="634">
        <f t="shared" si="94"/>
        <v>8.0933153278184601E-3</v>
      </c>
      <c r="EC33" s="783"/>
      <c r="ED33" s="1082"/>
      <c r="EE33" s="633"/>
      <c r="EF33" s="1088"/>
      <c r="EG33" s="1086"/>
      <c r="EH33" s="1086"/>
      <c r="EI33" s="1086"/>
      <c r="EJ33" s="1086"/>
      <c r="EK33" s="1086"/>
      <c r="EL33" s="1086"/>
      <c r="EM33" s="1088"/>
      <c r="EN33" s="1086"/>
      <c r="EO33" s="1086"/>
      <c r="EP33" s="1086"/>
      <c r="EQ33" s="1086"/>
      <c r="ER33" s="1088"/>
      <c r="ES33" s="1086"/>
      <c r="ET33" s="1086"/>
      <c r="EU33" s="1086"/>
      <c r="EV33" s="1086"/>
      <c r="EW33" s="1086"/>
      <c r="EX33" s="1089"/>
      <c r="EY33" s="2"/>
      <c r="EZ33" s="2"/>
      <c r="FA33" s="2"/>
      <c r="FB33" s="2"/>
      <c r="FC33" s="2"/>
      <c r="FD33" s="2"/>
      <c r="FE33" s="2"/>
      <c r="FF33" s="2"/>
      <c r="FG33" s="2"/>
      <c r="FH33" s="2"/>
      <c r="FI33" s="2"/>
      <c r="FJ33" s="403"/>
      <c r="FK33" s="404"/>
      <c r="FL33" s="405"/>
      <c r="FM33" s="1133"/>
    </row>
    <row r="34" spans="1:169" s="13" customFormat="1" ht="12.75" customHeight="1">
      <c r="A34" s="215"/>
      <c r="B34" s="385" t="s">
        <v>4133</v>
      </c>
      <c r="C34" s="386"/>
      <c r="D34" s="629"/>
      <c r="E34" s="387" t="s">
        <v>4143</v>
      </c>
      <c r="F34" s="388">
        <f>H33*4</f>
        <v>120</v>
      </c>
      <c r="G34" s="388" t="s">
        <v>93</v>
      </c>
      <c r="H34" s="388">
        <v>30</v>
      </c>
      <c r="I34" s="620" cm="1">
        <f t="array" ref="I34">IF($CI34=0,0,IFERROR(INDEX(MHR[],$CI34,MATCH($CA34,MHR!$B$4:$AY$4,0)),0))</f>
        <v>5.0533292901785716</v>
      </c>
      <c r="J34" s="617">
        <f t="shared" si="48"/>
        <v>5.6148103224206349E-3</v>
      </c>
      <c r="K34" s="389" t="s">
        <v>49</v>
      </c>
      <c r="L34" s="390">
        <v>15</v>
      </c>
      <c r="M34" s="849">
        <v>1</v>
      </c>
      <c r="N34" s="390"/>
      <c r="O34" s="388"/>
      <c r="P34" s="628">
        <v>3334</v>
      </c>
      <c r="Q34" s="620">
        <v>16.537500000000001</v>
      </c>
      <c r="R34" s="617">
        <v>1.6598326080319652E-3</v>
      </c>
      <c r="S34" s="391">
        <v>1</v>
      </c>
      <c r="T34" s="392" t="s">
        <v>275</v>
      </c>
      <c r="U34" s="620" cm="1">
        <f t="array" ref="U34">IF(COUNTBLANK($S34:$T34),0,
IF(AND(INDEX(MHR[Schichtmodell],$CI34)&lt;&gt;0,INDEX(MHR[Schichtmodell],$CI34)&lt;&gt;INDEX(Premises!$A$20:$F$20,1,$CH34)),ExchangeRate*
IF(OR($T34="M",$T34="U"),IF(INDEX(MHR[Schichtmodell],$CI34)=1,INDEX(LOC[M1S],INDEX(Premises!$A$18:$F$18,1,$CH34+1)),IF(INDEX(MHR[Schichtmodell],$CI34)=2,INDEX(LOC[M2S],INDEX(Premises!$A$18:$F$18,1,$CH34+1),IF(INDEX(MHR[Schichtmodell],$CI34)=3,INDEX(LOC[M3S],INDEX(Premises!$A$18:$F$18,1,$CH34+1)),0)))),
IF(INDEX(MHR[Schichtmodell],$CI34)=1,INDEX(LOC[F1S],INDEX(Premises!$A$18:$F$18,1,$CH34+1)),IF(INDEX(MHR[Schichtmodell],$CI34)=2,INDEX(LOC[F2S],INDEX(Premises!$A$18:$F$18,1,$CH34+1)),IF(INDEX(MHR[Schichtmodell],$CI34)=3,INDEX(LOC[F3S],INDEX(Premises!$A$18:$F$18,1,$CH34+1)),0)))),
IF(OR($T34="M",$T34="U"),INDEX(Premises!$A$21:$F$21,1,$CH34),
IF(OR($T34="F",$T34="S"),INDEX(Premises!$A$22:$F$22,1,$CH34),0)))*100/INDEX(Premises!$A$16:$F$16,1,$CH34))</f>
        <v>11.762499999999999</v>
      </c>
      <c r="V34" s="614">
        <f t="shared" si="49"/>
        <v>1.3069444444444444E-2</v>
      </c>
      <c r="W34" s="393"/>
      <c r="X34" s="386"/>
      <c r="Y34" s="394"/>
      <c r="Z34" s="395"/>
      <c r="AA34" s="611">
        <f t="shared" si="50"/>
        <v>0</v>
      </c>
      <c r="AB34" s="393"/>
      <c r="AC34" s="386"/>
      <c r="AD34" s="394"/>
      <c r="AE34" s="396"/>
      <c r="AF34" s="611">
        <f t="shared" si="51"/>
        <v>0</v>
      </c>
      <c r="AG34" s="612" cm="1">
        <f t="array" ref="AG34">IF(($J34+$V34+$AF34)=0,0,INDEX(Premises!$A$30:$F$30,1,$CH34)/100)</f>
        <v>0.01</v>
      </c>
      <c r="AH34" s="397"/>
      <c r="AI34" s="398"/>
      <c r="AJ34" s="399"/>
      <c r="AK34" s="613">
        <f t="shared" si="52"/>
        <v>0</v>
      </c>
      <c r="AL34" s="614">
        <f t="shared" si="53"/>
        <v>1.868425476686508E-4</v>
      </c>
      <c r="AM34" s="615" cm="1">
        <f t="array" ref="AM34">IF($CI34=0,0,IFERROR(INDEX(MHR[],$CI34,MATCH($CA34,MHR!$B$4:$AY$4,0)+11),0))</f>
        <v>2.7174990484977917</v>
      </c>
      <c r="AN34" s="616" cm="1">
        <f t="array" ref="AN34">IF(($J34+$V34)=0,0,IFERROR(IF(INDEX(Premises!$A$41:$F$41,1,$CH34)&lt;&gt;0,INDEX(Premises!$A$41:$F$41,1,$CH34)/100,(IFERROR(($J34/$I34)*$AM34,0)/($V34+$J34+$R34+$AL34))),0))</f>
        <v>0.14706802851151307</v>
      </c>
      <c r="AO34" s="617">
        <f t="shared" si="54"/>
        <v>3.0194433872197685E-3</v>
      </c>
      <c r="AP34" s="618">
        <f t="shared" si="55"/>
        <v>2.3550373309785461E-2</v>
      </c>
      <c r="AQ34" s="393"/>
      <c r="AR34" s="392"/>
      <c r="AS34" s="619" cm="1">
        <f t="array" ref="AS34">IF($CJ34=0,0,IFERROR(INDEX(MAT[Einheit],$CJ34,1),0))</f>
        <v>0</v>
      </c>
      <c r="AT34" s="620" cm="1">
        <f t="array" ref="AT34">IF($CJ34=0,0,IFERROR(INDEX(MAT[Preis],$CJ34,1),0))</f>
        <v>0</v>
      </c>
      <c r="AU34" s="621">
        <f t="shared" si="56"/>
        <v>0</v>
      </c>
      <c r="AV34" s="622" cm="1">
        <f t="array" ref="AV34">IF($AU34&lt;=0,0,INDEX(Premises!$A$30:$F$30,1,$CH34)/100)</f>
        <v>0</v>
      </c>
      <c r="AW34" s="392"/>
      <c r="AX34" s="614">
        <f t="shared" si="57"/>
        <v>0</v>
      </c>
      <c r="AY34" s="623" cm="1">
        <f t="array" ref="AY34">IF($AT34&lt;=0,0,IFERROR(IF(INDEX(Premises!$A$42:$F$42,1,$CH34)&lt;&gt;0,INDEX(Premises!$A$42:$F$42,1,$CH34)/100,(INDEX(MAT[],$CJ34,MATCH($CA34,MAT!$B$4:$AE$4,0))/($AR34*$CK34*INDEX(Premises!$A$13:$F$13,1,$CH34))+INDEX(MAT[],$CJ34,MATCH($CA34,MAT!$B$4:$AE$4,0)+7))/$AT34),0))</f>
        <v>0</v>
      </c>
      <c r="AZ34" s="614">
        <f t="shared" si="58"/>
        <v>0</v>
      </c>
      <c r="BA34" s="618">
        <f t="shared" si="59"/>
        <v>0</v>
      </c>
      <c r="BB34" s="618">
        <f t="shared" si="60"/>
        <v>2.3550373309785461E-2</v>
      </c>
      <c r="BC34" s="622" cm="1">
        <f t="array" ref="BC34">IF($BB34&lt;=0,0,IF(BC$2=-1,0,INDEX(Premises!$A$32:$F$32,1,$CH34)/100))</f>
        <v>0</v>
      </c>
      <c r="BD34" s="614">
        <f t="shared" si="61"/>
        <v>0</v>
      </c>
      <c r="BE34" s="622" cm="1">
        <f t="array" ref="BE34">IF($BB34&lt;=0,0,IF(BE$2=-1,0,INDEX(Premises!$A$33:$F$33,1,$CH34)/100))</f>
        <v>0</v>
      </c>
      <c r="BF34" s="614">
        <f t="shared" si="62"/>
        <v>0</v>
      </c>
      <c r="BG34" s="622" cm="1">
        <f t="array" ref="BG34">IF($BB34&lt;=0,0,IF(BG$2=-1,0,INDEX(Premises!$A$31:$F$31,1,$CH34)/100))</f>
        <v>0.1</v>
      </c>
      <c r="BH34" s="614">
        <f t="shared" si="63"/>
        <v>2.3363530762116813E-3</v>
      </c>
      <c r="BI34" s="618">
        <f t="shared" si="64"/>
        <v>2.5886726385997143E-2</v>
      </c>
      <c r="BJ34" s="622" cm="1">
        <f t="array" ref="BJ34">IF($BB34&lt;=0,0,IF(BJ$2=-1,0,INDEX(Premises!$A$35:$F$35,1,$CH34)/100))</f>
        <v>0</v>
      </c>
      <c r="BK34" s="614">
        <f t="shared" si="65"/>
        <v>0</v>
      </c>
      <c r="BL34" s="622" cm="1">
        <f t="array" ref="BL34">IF($BB34&lt;=0,0,IF(BL$2=-1,0,INDEX(Premises!$A$36:$F$36,1,$CH34)/100))</f>
        <v>0</v>
      </c>
      <c r="BM34" s="614">
        <f t="shared" si="66"/>
        <v>0</v>
      </c>
      <c r="BN34" s="622" cm="1">
        <f t="array" ref="BN34">IF($BB34&lt;=0,0,IF(BN$2=-1,0,INDEX(Premises!$A$34:$F$34,1,$CH34)/100))</f>
        <v>0.06</v>
      </c>
      <c r="BO34" s="614">
        <f t="shared" si="67"/>
        <v>1.4018118457270086E-3</v>
      </c>
      <c r="BP34" s="622" cm="1">
        <f t="array" ref="BP34">IF($BI34=0,0,INDEX(Premises!$A$37:$F$37,1,$CH34)/100)</f>
        <v>0</v>
      </c>
      <c r="BQ34" s="392"/>
      <c r="BR34" s="614">
        <f t="shared" si="68"/>
        <v>0</v>
      </c>
      <c r="BS34" s="624">
        <f t="shared" si="69"/>
        <v>2.7288538231724151E-2</v>
      </c>
      <c r="BT34" s="624">
        <f t="shared" si="70"/>
        <v>2.7288538231724151E-2</v>
      </c>
      <c r="BU34" s="625">
        <f t="shared" si="71"/>
        <v>1</v>
      </c>
      <c r="BV34" s="1127"/>
      <c r="BW34" s="401"/>
      <c r="BX34" s="401"/>
      <c r="BY34" s="402"/>
      <c r="BZ34" s="946"/>
      <c r="CA34" s="263" cm="1">
        <f t="array" ref="CA34">IF($BZ34&gt;0,VALUE(LEFT($BZ34,IF(ISERROR(FIND("-",$BZ34)),LEN($BZ34),FIND("-",$BZ34)-1))),INDEX($CA$1:$CA34,MAX(1,$CD34)))</f>
        <v>1</v>
      </c>
      <c r="CB34" s="263" cm="1">
        <f t="array" ref="CB34">IF($BT34=0,0,IF(LEN($BZ34)-LEN(SUBSTITUTE($BZ34,"-",""))&gt;1,
VALUE(MID($BZ34,FIND("-",$BZ34)+1,FIND("-",$BZ34,FIND("-",$BZ34)+1)-FIND("-",$BZ34)-1)),IF($BZ34&gt;0,0,INDEX($CB$1:$CB34,MAX(1,$CD34)))))</f>
        <v>0</v>
      </c>
      <c r="CC34" s="263" cm="1">
        <f t="array" ref="CC34">IF($BT34=0,0,IF(NOT(ISERROR(FIND("-",BZ34))),
VALUE(RIGHT($BZ34,LEN($BZ34)-IF(LEN($BZ34)-LEN(SUBSTITUTE($BZ34,"-",""))=1,FIND("-",$BZ34),FIND("-",$BZ34,FIND("-",$BZ34)+1)))),
IF($BZ34&gt;0,0,INDEX($CC$1:$CC34,MAX(1,$CD34)))))</f>
        <v>0</v>
      </c>
      <c r="CD34" s="376">
        <f>MATCH(0,$CE$1:$CE34,-1)</f>
        <v>26</v>
      </c>
      <c r="CE34" s="263"/>
      <c r="CF34" s="377"/>
      <c r="CG34" s="376" cm="1">
        <f t="array" ref="CG34">INDEX($CG$1:$CG34,$CD34)</f>
        <v>5</v>
      </c>
      <c r="CH34" s="263">
        <f>MATCH($CA34,Premises!$A$10:$F$10,0)</f>
        <v>4</v>
      </c>
      <c r="CI34" s="263">
        <f>IF(ISBLANK($E34),0,IFERROR(MATCH($E34,MHR[Bezeichnung],0),0))</f>
        <v>4</v>
      </c>
      <c r="CJ34" s="377">
        <f>IF(ISBLANK($AQ34),0,IFERROR(MATCH($AQ34,MAT[Bezeichnung],0),0))</f>
        <v>0</v>
      </c>
      <c r="CK34" s="263" cm="1">
        <f t="array" ref="CK34">INDEX($D$1:$D34,$CD34)</f>
        <v>1</v>
      </c>
      <c r="CL34" s="263"/>
      <c r="CM34" s="378"/>
      <c r="CN34" s="379" cm="1">
        <f t="array" ref="CN34">IF($CB34=0,0,IF($CB34=INDEX($CB$1:$CB34,$CD34),INDEX($CN$1:$CN34,$CD34),$CP34))</f>
        <v>0</v>
      </c>
      <c r="CO34" s="378"/>
      <c r="CP34" s="379" cm="1">
        <f t="array" ref="CP34">IF($CC34=0,0,INDEX($CP$1:$CP34,$CD34))</f>
        <v>0</v>
      </c>
      <c r="CQ34" s="380"/>
      <c r="CR34" s="381"/>
      <c r="CS34" s="381"/>
      <c r="CT34" s="1132"/>
      <c r="CU34" s="1129"/>
      <c r="CV34" s="630">
        <f t="shared" si="72"/>
        <v>5.6148103224206349E-3</v>
      </c>
      <c r="CW34" s="631">
        <f t="shared" si="73"/>
        <v>1.6598326080319652E-3</v>
      </c>
      <c r="CX34" s="631">
        <f t="shared" si="74"/>
        <v>1.3069444444444444E-2</v>
      </c>
      <c r="CY34" s="631">
        <f t="shared" si="75"/>
        <v>0</v>
      </c>
      <c r="CZ34" s="631">
        <f t="shared" si="76"/>
        <v>0</v>
      </c>
      <c r="DA34" s="631">
        <f t="shared" si="77"/>
        <v>1.868425476686508E-4</v>
      </c>
      <c r="DB34" s="631">
        <f t="shared" si="78"/>
        <v>3.0194433872197685E-3</v>
      </c>
      <c r="DC34" s="632">
        <f t="shared" si="79"/>
        <v>2.3550373309785461E-2</v>
      </c>
      <c r="DD34" s="631">
        <f t="shared" si="80"/>
        <v>0</v>
      </c>
      <c r="DE34" s="631">
        <f t="shared" si="81"/>
        <v>0</v>
      </c>
      <c r="DF34" s="631">
        <f t="shared" si="82"/>
        <v>0</v>
      </c>
      <c r="DG34" s="632">
        <f t="shared" si="83"/>
        <v>0</v>
      </c>
      <c r="DH34" s="632">
        <f t="shared" si="84"/>
        <v>2.3550373309785461E-2</v>
      </c>
      <c r="DI34" s="631">
        <f t="shared" si="85"/>
        <v>0</v>
      </c>
      <c r="DJ34" s="631">
        <f t="shared" si="86"/>
        <v>0</v>
      </c>
      <c r="DK34" s="631">
        <f t="shared" si="87"/>
        <v>2.3363530762116813E-3</v>
      </c>
      <c r="DL34" s="631">
        <f t="shared" si="88"/>
        <v>0</v>
      </c>
      <c r="DM34" s="631">
        <f t="shared" si="89"/>
        <v>0</v>
      </c>
      <c r="DN34" s="631">
        <f t="shared" si="90"/>
        <v>1.4018118457270086E-3</v>
      </c>
      <c r="DO34" s="631">
        <f t="shared" si="91"/>
        <v>0</v>
      </c>
      <c r="DP34" s="634">
        <f t="shared" si="92"/>
        <v>2.7288538231724151E-2</v>
      </c>
      <c r="DQ34" s="929">
        <f>IF($CB34=0,0,$DP34*_xlfn.XLOOKUP($CB34,Premises!$A$10:$F$10,Premises!$A$30:$F$30)/100)</f>
        <v>0</v>
      </c>
      <c r="DR34" s="633">
        <f>IFERROR(SUM($DP34:$DQ34)*IF(INDEX(Premises!$A$42:$F$42,1,MATCH($CB34,Premises!$A$10:$F$10,0))&gt;0,INDEX(Premises!$A$42:$F$42,1,MATCH($CB34,Premises!$A$10:$F$10,0))%,$CN34),0)</f>
        <v>0</v>
      </c>
      <c r="DS34" s="633" cm="1">
        <f t="array" ref="DS34">IF($CB34=0,0,SUM($DP34:$DR34)*_xlfn.XLOOKUP($CB34,Premises!$A$10:$F$10,IF(INDEX(Settings[],MATCH(3001,Settings[ID],0),2)="B",Premises!$A$33:$F$33,Premises!$A$31:$F$31))/100)</f>
        <v>0</v>
      </c>
      <c r="DT34" s="633" cm="1">
        <f t="array" ref="DT34">IF($CB34=0,0,$DP34*_xlfn.XLOOKUP($CB34,Premises!$A$10:$F$10,IF(INDEX(Settings[],MATCH(3002,Settings[ID],0),2)="B",Premises!$A$36:$F$36,Premises!$A$34:$F$34))/100)</f>
        <v>0</v>
      </c>
      <c r="DU34" s="633">
        <f>IF($CB34=0,0,SUM($DP34:$DT34)*_xlfn.XLOOKUP($CB34,Premises!$A$10:$F$10,Premises!$A$37:$F$37)/100)</f>
        <v>0</v>
      </c>
      <c r="DV34" s="932">
        <f t="shared" si="93"/>
        <v>2.7288538231724151E-2</v>
      </c>
      <c r="DW34" s="929">
        <f>IF($CC34=0,0,$DV34*_xlfn.XLOOKUP($CC34,Premises!$A$10:$F$10,Premises!$A$30:$F$30)/100)</f>
        <v>0</v>
      </c>
      <c r="DX34" s="633">
        <f>IFERROR(SUM($DV34:$DW34)*IF(INDEX(Premises!$A$42:$F$42,1,MATCH($CC34,Premises!$A$10:$F$10,0))&gt;0,INDEX(Premises!$A$42:$F$42,1,MATCH($CC34,Premises!$A$10:$F$10,0))%,$CP34),0)</f>
        <v>0</v>
      </c>
      <c r="DY34" s="633" cm="1">
        <f t="array" ref="DY34">IF($CC34=0,0,SUM($DV34:$DX34)*_xlfn.XLOOKUP($CC34,Premises!$A$10:$F$10,IF(INDEX(Settings[],MATCH(3001,Settings[ID],0),2)="B",Premises!$A$33:$F$33,Premises!$A$31:$F$31))/100)</f>
        <v>0</v>
      </c>
      <c r="DZ34" s="633" cm="1">
        <f t="array" ref="DZ34">IF($CC34=0,0,$DV34*_xlfn.XLOOKUP($CC34,Premises!$A$10:$F$10,IF(INDEX(Settings[],MATCH(3002,Settings[ID],0),2)="B",Premises!$A$36:$F$36,Premises!$A$34:$F$34))/100)</f>
        <v>0</v>
      </c>
      <c r="EA34" s="633">
        <f>IF($CC34=0,0,SUM($DV34:$DZ34)*_xlfn.XLOOKUP($CC34,Premises!$A$10:$F$10,Premises!$A$37:$F$37)/100)</f>
        <v>0</v>
      </c>
      <c r="EB34" s="634">
        <f t="shared" si="94"/>
        <v>2.7288538231724151E-2</v>
      </c>
      <c r="EC34" s="783"/>
      <c r="ED34" s="1082"/>
      <c r="EE34" s="633"/>
      <c r="EF34" s="1088"/>
      <c r="EG34" s="1086"/>
      <c r="EH34" s="1086"/>
      <c r="EI34" s="1086"/>
      <c r="EJ34" s="1086"/>
      <c r="EK34" s="1086"/>
      <c r="EL34" s="1086"/>
      <c r="EM34" s="1088"/>
      <c r="EN34" s="1086"/>
      <c r="EO34" s="1086"/>
      <c r="EP34" s="1086"/>
      <c r="EQ34" s="1086"/>
      <c r="ER34" s="1088"/>
      <c r="ES34" s="1086"/>
      <c r="ET34" s="1086"/>
      <c r="EU34" s="1086"/>
      <c r="EV34" s="1086"/>
      <c r="EW34" s="1086"/>
      <c r="EX34" s="1089"/>
      <c r="EY34" s="2"/>
      <c r="EZ34" s="2"/>
      <c r="FA34" s="2"/>
      <c r="FB34" s="2"/>
      <c r="FC34" s="2"/>
      <c r="FD34" s="2"/>
      <c r="FE34" s="2"/>
      <c r="FF34" s="2"/>
      <c r="FG34" s="2"/>
      <c r="FH34" s="2"/>
      <c r="FI34" s="2"/>
      <c r="FJ34" s="403"/>
      <c r="FK34" s="404"/>
      <c r="FL34" s="405"/>
      <c r="FM34" s="1133"/>
    </row>
    <row r="35" spans="1:169" s="13" customFormat="1" ht="12.75" customHeight="1">
      <c r="A35" s="215"/>
      <c r="B35" s="385" t="s">
        <v>4134</v>
      </c>
      <c r="C35" s="386"/>
      <c r="D35" s="629"/>
      <c r="E35" s="387" t="s">
        <v>4145</v>
      </c>
      <c r="F35" s="388">
        <f>3+SUM('E-BOM PCB Main UI'!I37:I40)*0.1+3+SUM('E-BOM PCB Main UI'!L37:L40)*0.1</f>
        <v>18.900000000000002</v>
      </c>
      <c r="G35" s="388" t="s">
        <v>93</v>
      </c>
      <c r="H35" s="388">
        <v>1</v>
      </c>
      <c r="I35" s="620" cm="1">
        <f t="array" ref="I35">IF($CI35=0,0,IFERROR(INDEX(MHR[],$CI35,MATCH($CA35,MHR!$B$4:$AY$4,0)),0))</f>
        <v>4.6116480654761904</v>
      </c>
      <c r="J35" s="617">
        <f t="shared" si="48"/>
        <v>2.421115234375E-2</v>
      </c>
      <c r="K35" s="389" t="s">
        <v>49</v>
      </c>
      <c r="L35" s="390">
        <v>15</v>
      </c>
      <c r="M35" s="849">
        <v>1</v>
      </c>
      <c r="N35" s="390"/>
      <c r="O35" s="388"/>
      <c r="P35" s="628">
        <v>3334</v>
      </c>
      <c r="Q35" s="620">
        <v>16.537500000000001</v>
      </c>
      <c r="R35" s="617">
        <v>1.6329248659196734E-3</v>
      </c>
      <c r="S35" s="391">
        <v>1</v>
      </c>
      <c r="T35" s="392" t="s">
        <v>275</v>
      </c>
      <c r="U35" s="620" cm="1">
        <f t="array" ref="U35">IF(COUNTBLANK($S35:$T35),0,
IF(AND(INDEX(MHR[Schichtmodell],$CI35)&lt;&gt;0,INDEX(MHR[Schichtmodell],$CI35)&lt;&gt;INDEX(Premises!$A$20:$F$20,1,$CH35)),ExchangeRate*
IF(OR($T35="M",$T35="U"),IF(INDEX(MHR[Schichtmodell],$CI35)=1,INDEX(LOC[M1S],INDEX(Premises!$A$18:$F$18,1,$CH35+1)),IF(INDEX(MHR[Schichtmodell],$CI35)=2,INDEX(LOC[M2S],INDEX(Premises!$A$18:$F$18,1,$CH35+1),IF(INDEX(MHR[Schichtmodell],$CI35)=3,INDEX(LOC[M3S],INDEX(Premises!$A$18:$F$18,1,$CH35+1)),0)))),
IF(INDEX(MHR[Schichtmodell],$CI35)=1,INDEX(LOC[F1S],INDEX(Premises!$A$18:$F$18,1,$CH35+1)),IF(INDEX(MHR[Schichtmodell],$CI35)=2,INDEX(LOC[F2S],INDEX(Premises!$A$18:$F$18,1,$CH35+1)),IF(INDEX(MHR[Schichtmodell],$CI35)=3,INDEX(LOC[F3S],INDEX(Premises!$A$18:$F$18,1,$CH35+1)),0)))),
IF(OR($T35="M",$T35="U"),INDEX(Premises!$A$21:$F$21,1,$CH35),
IF(OR($T35="F",$T35="S"),INDEX(Premises!$A$22:$F$22,1,$CH35),0)))*100/INDEX(Premises!$A$16:$F$16,1,$CH35))</f>
        <v>11.762499999999999</v>
      </c>
      <c r="V35" s="614">
        <f t="shared" si="49"/>
        <v>6.1753124999999999E-2</v>
      </c>
      <c r="W35" s="393"/>
      <c r="X35" s="386"/>
      <c r="Y35" s="394"/>
      <c r="Z35" s="395"/>
      <c r="AA35" s="611">
        <f t="shared" si="50"/>
        <v>0</v>
      </c>
      <c r="AB35" s="393"/>
      <c r="AC35" s="386"/>
      <c r="AD35" s="394"/>
      <c r="AE35" s="396"/>
      <c r="AF35" s="611">
        <f t="shared" si="51"/>
        <v>0</v>
      </c>
      <c r="AG35" s="612" cm="1">
        <f t="array" ref="AG35">IF(($J35+$V35+$AF35)=0,0,INDEX(Premises!$A$30:$F$30,1,$CH35)/100)</f>
        <v>0.01</v>
      </c>
      <c r="AH35" s="397"/>
      <c r="AI35" s="398"/>
      <c r="AJ35" s="399"/>
      <c r="AK35" s="613">
        <f t="shared" si="52"/>
        <v>0</v>
      </c>
      <c r="AL35" s="614">
        <f t="shared" si="53"/>
        <v>8.5964277343750011E-4</v>
      </c>
      <c r="AM35" s="615" cm="1">
        <f t="array" ref="AM35">IF($CI35=0,0,IFERROR(INDEX(MHR[],$CI35,MATCH($CA35,MHR!$B$4:$AY$4,0)+11),0))</f>
        <v>1.6754851596089027</v>
      </c>
      <c r="AN35" s="616" cm="1">
        <f t="array" ref="AN35">IF(($J35+$V35)=0,0,IFERROR(IF(INDEX(Premises!$A$41:$F$41,1,$CH35)&lt;&gt;0,INDEX(Premises!$A$41:$F$41,1,$CH35)/100,(IFERROR(($J35/$I35)*$AM35,0)/($V35+$J35+$R35+$AL35))),0))</f>
        <v>9.9441677912281284E-2</v>
      </c>
      <c r="AO35" s="617">
        <f t="shared" si="54"/>
        <v>8.79629708794674E-3</v>
      </c>
      <c r="AP35" s="618">
        <f t="shared" si="55"/>
        <v>9.7253142071053927E-2</v>
      </c>
      <c r="AQ35" s="393"/>
      <c r="AR35" s="392"/>
      <c r="AS35" s="619" cm="1">
        <f t="array" ref="AS35">IF($CJ35=0,0,IFERROR(INDEX(MAT[Einheit],$CJ35,1),0))</f>
        <v>0</v>
      </c>
      <c r="AT35" s="620" cm="1">
        <f t="array" ref="AT35">IF($CJ35=0,0,IFERROR(INDEX(MAT[Preis],$CJ35,1),0))</f>
        <v>0</v>
      </c>
      <c r="AU35" s="621">
        <f t="shared" si="56"/>
        <v>0</v>
      </c>
      <c r="AV35" s="622" cm="1">
        <f t="array" ref="AV35">IF($AU35&lt;=0,0,INDEX(Premises!$A$30:$F$30,1,$CH35)/100)</f>
        <v>0</v>
      </c>
      <c r="AW35" s="392"/>
      <c r="AX35" s="614">
        <f t="shared" si="57"/>
        <v>0</v>
      </c>
      <c r="AY35" s="623" cm="1">
        <f t="array" ref="AY35">IF($AT35&lt;=0,0,IFERROR(IF(INDEX(Premises!$A$42:$F$42,1,$CH35)&lt;&gt;0,INDEX(Premises!$A$42:$F$42,1,$CH35)/100,(INDEX(MAT[],$CJ35,MATCH($CA35,MAT!$B$4:$AE$4,0))/($AR35*$CK35*INDEX(Premises!$A$13:$F$13,1,$CH35))+INDEX(MAT[],$CJ35,MATCH($CA35,MAT!$B$4:$AE$4,0)+7))/$AT35),0))</f>
        <v>0</v>
      </c>
      <c r="AZ35" s="614">
        <f t="shared" si="58"/>
        <v>0</v>
      </c>
      <c r="BA35" s="618">
        <f t="shared" si="59"/>
        <v>0</v>
      </c>
      <c r="BB35" s="618">
        <f t="shared" si="60"/>
        <v>9.7253142071053927E-2</v>
      </c>
      <c r="BC35" s="622" cm="1">
        <f t="array" ref="BC35">IF($BB35&lt;=0,0,IF(BC$2=-1,0,INDEX(Premises!$A$32:$F$32,1,$CH35)/100))</f>
        <v>0</v>
      </c>
      <c r="BD35" s="614">
        <f t="shared" si="61"/>
        <v>0</v>
      </c>
      <c r="BE35" s="622" cm="1">
        <f t="array" ref="BE35">IF($BB35&lt;=0,0,IF(BE$2=-1,0,INDEX(Premises!$A$33:$F$33,1,$CH35)/100))</f>
        <v>0</v>
      </c>
      <c r="BF35" s="614">
        <f t="shared" si="62"/>
        <v>0</v>
      </c>
      <c r="BG35" s="622" cm="1">
        <f t="array" ref="BG35">IF($BB35&lt;=0,0,IF(BG$2=-1,0,INDEX(Premises!$A$31:$F$31,1,$CH35)/100))</f>
        <v>0.1</v>
      </c>
      <c r="BH35" s="614">
        <f t="shared" si="63"/>
        <v>9.6393499297616429E-3</v>
      </c>
      <c r="BI35" s="618">
        <f t="shared" si="64"/>
        <v>0.10689249200081558</v>
      </c>
      <c r="BJ35" s="622" cm="1">
        <f t="array" ref="BJ35">IF($BB35&lt;=0,0,IF(BJ$2=-1,0,INDEX(Premises!$A$35:$F$35,1,$CH35)/100))</f>
        <v>0</v>
      </c>
      <c r="BK35" s="614">
        <f t="shared" si="65"/>
        <v>0</v>
      </c>
      <c r="BL35" s="622" cm="1">
        <f t="array" ref="BL35">IF($BB35&lt;=0,0,IF(BL$2=-1,0,INDEX(Premises!$A$36:$F$36,1,$CH35)/100))</f>
        <v>0</v>
      </c>
      <c r="BM35" s="614">
        <f t="shared" si="66"/>
        <v>0</v>
      </c>
      <c r="BN35" s="622" cm="1">
        <f t="array" ref="BN35">IF($BB35&lt;=0,0,IF(BN$2=-1,0,INDEX(Premises!$A$34:$F$34,1,$CH35)/100))</f>
        <v>0.06</v>
      </c>
      <c r="BO35" s="614">
        <f t="shared" si="67"/>
        <v>5.783609957856985E-3</v>
      </c>
      <c r="BP35" s="622" cm="1">
        <f t="array" ref="BP35">IF($BI35=0,0,INDEX(Premises!$A$37:$F$37,1,$CH35)/100)</f>
        <v>0</v>
      </c>
      <c r="BQ35" s="392"/>
      <c r="BR35" s="614">
        <f t="shared" si="68"/>
        <v>0</v>
      </c>
      <c r="BS35" s="624">
        <f t="shared" si="69"/>
        <v>0.11267610195867256</v>
      </c>
      <c r="BT35" s="624">
        <f t="shared" si="70"/>
        <v>0.11267610195867256</v>
      </c>
      <c r="BU35" s="625">
        <f t="shared" si="71"/>
        <v>1</v>
      </c>
      <c r="BV35" s="400"/>
      <c r="BW35" s="401"/>
      <c r="BX35" s="401"/>
      <c r="BY35" s="402"/>
      <c r="BZ35" s="946"/>
      <c r="CA35" s="263" cm="1">
        <f t="array" ref="CA35">IF($BZ35&gt;0,VALUE(LEFT($BZ35,IF(ISERROR(FIND("-",$BZ35)),LEN($BZ35),FIND("-",$BZ35)-1))),INDEX($CA$1:$CA35,MAX(1,$CD35)))</f>
        <v>1</v>
      </c>
      <c r="CB35" s="263" cm="1">
        <f t="array" ref="CB35">IF($BT35=0,0,IF(LEN($BZ35)-LEN(SUBSTITUTE($BZ35,"-",""))&gt;1,
VALUE(MID($BZ35,FIND("-",$BZ35)+1,FIND("-",$BZ35,FIND("-",$BZ35)+1)-FIND("-",$BZ35)-1)),IF($BZ35&gt;0,0,INDEX($CB$1:$CB35,MAX(1,$CD35)))))</f>
        <v>0</v>
      </c>
      <c r="CC35" s="263" cm="1">
        <f t="array" ref="CC35">IF($BT35=0,0,IF(NOT(ISERROR(FIND("-",BZ35))),
VALUE(RIGHT($BZ35,LEN($BZ35)-IF(LEN($BZ35)-LEN(SUBSTITUTE($BZ35,"-",""))=1,FIND("-",$BZ35),FIND("-",$BZ35,FIND("-",$BZ35)+1)))),
IF($BZ35&gt;0,0,INDEX($CC$1:$CC35,MAX(1,$CD35)))))</f>
        <v>0</v>
      </c>
      <c r="CD35" s="376">
        <f>MATCH(0,$CE$1:$CE35,-1)</f>
        <v>26</v>
      </c>
      <c r="CE35" s="263"/>
      <c r="CF35" s="377"/>
      <c r="CG35" s="376" cm="1">
        <f t="array" ref="CG35">INDEX($CG$1:$CG35,$CD35)</f>
        <v>5</v>
      </c>
      <c r="CH35" s="263">
        <f>MATCH($CA35,Premises!$A$10:$F$10,0)</f>
        <v>4</v>
      </c>
      <c r="CI35" s="263">
        <f>IF(ISBLANK($E35),0,IFERROR(MATCH($E35,MHR[Bezeichnung],0),0))</f>
        <v>5</v>
      </c>
      <c r="CJ35" s="377">
        <f>IF(ISBLANK($AQ35),0,IFERROR(MATCH($AQ35,MAT[Bezeichnung],0),0))</f>
        <v>0</v>
      </c>
      <c r="CK35" s="263" cm="1">
        <f t="array" ref="CK35">INDEX($D$1:$D35,$CD35)</f>
        <v>1</v>
      </c>
      <c r="CL35" s="263"/>
      <c r="CM35" s="378"/>
      <c r="CN35" s="379" cm="1">
        <f t="array" ref="CN35">IF($CB35=0,0,IF($CB35=INDEX($CB$1:$CB35,$CD35),INDEX($CN$1:$CN35,$CD35),$CP35))</f>
        <v>0</v>
      </c>
      <c r="CO35" s="378"/>
      <c r="CP35" s="379" cm="1">
        <f t="array" ref="CP35">IF($CC35=0,0,INDEX($CP$1:$CP35,$CD35))</f>
        <v>0</v>
      </c>
      <c r="CQ35" s="380"/>
      <c r="CR35" s="381"/>
      <c r="CS35" s="381"/>
      <c r="CT35" s="948"/>
      <c r="CU35" s="2"/>
      <c r="CV35" s="630">
        <f t="shared" si="72"/>
        <v>2.421115234375E-2</v>
      </c>
      <c r="CW35" s="631">
        <f t="shared" si="73"/>
        <v>1.6329248659196734E-3</v>
      </c>
      <c r="CX35" s="631">
        <f t="shared" si="74"/>
        <v>6.1753124999999999E-2</v>
      </c>
      <c r="CY35" s="631">
        <f t="shared" si="75"/>
        <v>0</v>
      </c>
      <c r="CZ35" s="631">
        <f t="shared" si="76"/>
        <v>0</v>
      </c>
      <c r="DA35" s="631">
        <f t="shared" si="77"/>
        <v>8.5964277343750011E-4</v>
      </c>
      <c r="DB35" s="631">
        <f t="shared" si="78"/>
        <v>8.79629708794674E-3</v>
      </c>
      <c r="DC35" s="632">
        <f t="shared" si="79"/>
        <v>9.7253142071053927E-2</v>
      </c>
      <c r="DD35" s="631">
        <f t="shared" si="80"/>
        <v>0</v>
      </c>
      <c r="DE35" s="631">
        <f t="shared" si="81"/>
        <v>0</v>
      </c>
      <c r="DF35" s="631">
        <f t="shared" si="82"/>
        <v>0</v>
      </c>
      <c r="DG35" s="632">
        <f t="shared" si="83"/>
        <v>0</v>
      </c>
      <c r="DH35" s="632">
        <f t="shared" si="84"/>
        <v>9.7253142071053927E-2</v>
      </c>
      <c r="DI35" s="631">
        <f t="shared" si="85"/>
        <v>0</v>
      </c>
      <c r="DJ35" s="631">
        <f t="shared" si="86"/>
        <v>0</v>
      </c>
      <c r="DK35" s="631">
        <f t="shared" si="87"/>
        <v>9.6393499297616429E-3</v>
      </c>
      <c r="DL35" s="631">
        <f t="shared" si="88"/>
        <v>0</v>
      </c>
      <c r="DM35" s="631">
        <f t="shared" si="89"/>
        <v>0</v>
      </c>
      <c r="DN35" s="631">
        <f t="shared" si="90"/>
        <v>5.783609957856985E-3</v>
      </c>
      <c r="DO35" s="631">
        <f t="shared" si="91"/>
        <v>0</v>
      </c>
      <c r="DP35" s="634">
        <f t="shared" si="92"/>
        <v>0.11267610195867256</v>
      </c>
      <c r="DQ35" s="929">
        <f>IF($CB35=0,0,$DP35*_xlfn.XLOOKUP($CB35,Premises!$A$10:$F$10,Premises!$A$30:$F$30)/100)</f>
        <v>0</v>
      </c>
      <c r="DR35" s="633">
        <f>IFERROR(SUM($DP35:$DQ35)*IF(INDEX(Premises!$A$42:$F$42,1,MATCH($CB35,Premises!$A$10:$F$10,0))&gt;0,INDEX(Premises!$A$42:$F$42,1,MATCH($CB35,Premises!$A$10:$F$10,0))%,$CN35),0)</f>
        <v>0</v>
      </c>
      <c r="DS35" s="633" cm="1">
        <f t="array" ref="DS35">IF($CB35=0,0,SUM($DP35:$DR35)*_xlfn.XLOOKUP($CB35,Premises!$A$10:$F$10,IF(INDEX(Settings[],MATCH(3001,Settings[ID],0),2)="B",Premises!$A$33:$F$33,Premises!$A$31:$F$31))/100)</f>
        <v>0</v>
      </c>
      <c r="DT35" s="633" cm="1">
        <f t="array" ref="DT35">IF($CB35=0,0,$DP35*_xlfn.XLOOKUP($CB35,Premises!$A$10:$F$10,IF(INDEX(Settings[],MATCH(3002,Settings[ID],0),2)="B",Premises!$A$36:$F$36,Premises!$A$34:$F$34))/100)</f>
        <v>0</v>
      </c>
      <c r="DU35" s="633">
        <f>IF($CB35=0,0,SUM($DP35:$DT35)*_xlfn.XLOOKUP($CB35,Premises!$A$10:$F$10,Premises!$A$37:$F$37)/100)</f>
        <v>0</v>
      </c>
      <c r="DV35" s="932">
        <f t="shared" si="93"/>
        <v>0.11267610195867256</v>
      </c>
      <c r="DW35" s="929">
        <f>IF($CC35=0,0,$DV35*_xlfn.XLOOKUP($CC35,Premises!$A$10:$F$10,Premises!$A$30:$F$30)/100)</f>
        <v>0</v>
      </c>
      <c r="DX35" s="633">
        <f>IFERROR(SUM($DV35:$DW35)*IF(INDEX(Premises!$A$42:$F$42,1,MATCH($CC35,Premises!$A$10:$F$10,0))&gt;0,INDEX(Premises!$A$42:$F$42,1,MATCH($CC35,Premises!$A$10:$F$10,0))%,$CP35),0)</f>
        <v>0</v>
      </c>
      <c r="DY35" s="633" cm="1">
        <f t="array" ref="DY35">IF($CC35=0,0,SUM($DV35:$DX35)*_xlfn.XLOOKUP($CC35,Premises!$A$10:$F$10,IF(INDEX(Settings[],MATCH(3001,Settings[ID],0),2)="B",Premises!$A$33:$F$33,Premises!$A$31:$F$31))/100)</f>
        <v>0</v>
      </c>
      <c r="DZ35" s="633" cm="1">
        <f t="array" ref="DZ35">IF($CC35=0,0,$DV35*_xlfn.XLOOKUP($CC35,Premises!$A$10:$F$10,IF(INDEX(Settings[],MATCH(3002,Settings[ID],0),2)="B",Premises!$A$36:$F$36,Premises!$A$34:$F$34))/100)</f>
        <v>0</v>
      </c>
      <c r="EA35" s="633">
        <f>IF($CC35=0,0,SUM($DV35:$DZ35)*_xlfn.XLOOKUP($CC35,Premises!$A$10:$F$10,Premises!$A$37:$F$37)/100)</f>
        <v>0</v>
      </c>
      <c r="EB35" s="634">
        <f t="shared" si="94"/>
        <v>0.11267610195867256</v>
      </c>
      <c r="EC35" s="783"/>
      <c r="ED35" s="1082"/>
      <c r="EE35" s="633"/>
      <c r="EF35" s="1088"/>
      <c r="EG35" s="1086"/>
      <c r="EH35" s="1086"/>
      <c r="EI35" s="1086"/>
      <c r="EJ35" s="1086"/>
      <c r="EK35" s="1086"/>
      <c r="EL35" s="1086"/>
      <c r="EM35" s="1088"/>
      <c r="EN35" s="1086"/>
      <c r="EO35" s="1086"/>
      <c r="EP35" s="1086"/>
      <c r="EQ35" s="1086"/>
      <c r="ER35" s="1088"/>
      <c r="ES35" s="1086"/>
      <c r="ET35" s="1086"/>
      <c r="EU35" s="1086"/>
      <c r="EV35" s="1086"/>
      <c r="EW35" s="1086"/>
      <c r="EX35" s="1089"/>
      <c r="EY35" s="2"/>
      <c r="EZ35" s="2"/>
      <c r="FA35" s="2"/>
      <c r="FB35" s="2"/>
      <c r="FC35" s="2"/>
      <c r="FD35" s="2"/>
      <c r="FE35" s="2"/>
      <c r="FF35" s="2"/>
      <c r="FG35" s="2"/>
      <c r="FH35" s="2"/>
      <c r="FI35" s="2"/>
      <c r="FJ35" s="403"/>
      <c r="FK35" s="404"/>
      <c r="FL35" s="405"/>
      <c r="FM35" s="948"/>
    </row>
    <row r="36" spans="1:169" s="13" customFormat="1" ht="12.75" customHeight="1">
      <c r="A36" s="215"/>
      <c r="B36" s="385"/>
      <c r="C36" s="386"/>
      <c r="D36" s="629"/>
      <c r="E36" s="387"/>
      <c r="F36" s="388"/>
      <c r="G36" s="388"/>
      <c r="H36" s="388"/>
      <c r="I36" s="620" cm="1">
        <f t="array" ref="I36">IF($CI36=0,0,IFERROR(INDEX(MHR[],$CI36,MATCH($CA36,MHR!$B$4:$AY$4,0)),0))</f>
        <v>0</v>
      </c>
      <c r="J36" s="617">
        <f t="shared" si="48"/>
        <v>0</v>
      </c>
      <c r="K36" s="389"/>
      <c r="L36" s="390"/>
      <c r="M36" s="849"/>
      <c r="N36" s="390"/>
      <c r="O36" s="388"/>
      <c r="P36" s="628" cm="1">
        <f t="array" ref="P36">IF($K36=0,0,IFERROR(ROUNDUP(IF(ISNUMBER($K36),$K36,INDEX($D$1:$D36,$CD36)*INDEX(Premises!$A$13:$F$13,1,$CH36)/IF(OR($K36="T",$K36="D"),250,IF($K36="W",50,IF($K36="M",12,IF(OR($K36="HJ",$K36="HY"),2,IF(OR($K36="J",$K36="Y"),1,0)))))),0),0))</f>
        <v>0</v>
      </c>
      <c r="Q36" s="620" cm="1">
        <f t="array" ref="Q36">IF($K36=0,0,IFERROR(INDEX(Premises!$A$22:$F$22,1,$CH36)*100/INDEX(Premises!$A$16:$F$16,1,$CH36),0))</f>
        <v>0</v>
      </c>
      <c r="R36" s="617">
        <f>IF($P36=0,0,IFERROR(($L36/60*($I36+$Q36*$M36)+($N36/60*($Q36*$O36)))/$P36,0))</f>
        <v>0</v>
      </c>
      <c r="S36" s="391"/>
      <c r="T36" s="392"/>
      <c r="U36" s="620" cm="1">
        <f t="array" ref="U36">IF(COUNTBLANK($S36:$T36),0,
IF(AND(INDEX(MHR[Schichtmodell],$CI36)&lt;&gt;0,INDEX(MHR[Schichtmodell],$CI36)&lt;&gt;INDEX(Premises!$A$20:$F$20,1,$CH36)),ExchangeRate*
IF(OR($T36="M",$T36="U"),IF(INDEX(MHR[Schichtmodell],$CI36)=1,INDEX(LOC[M1S],INDEX(Premises!$A$18:$F$18,1,$CH36+1)),IF(INDEX(MHR[Schichtmodell],$CI36)=2,INDEX(LOC[M2S],INDEX(Premises!$A$18:$F$18,1,$CH36+1),IF(INDEX(MHR[Schichtmodell],$CI36)=3,INDEX(LOC[M3S],INDEX(Premises!$A$18:$F$18,1,$CH36+1)),0)))),
IF(INDEX(MHR[Schichtmodell],$CI36)=1,INDEX(LOC[F1S],INDEX(Premises!$A$18:$F$18,1,$CH36+1)),IF(INDEX(MHR[Schichtmodell],$CI36)=2,INDEX(LOC[F2S],INDEX(Premises!$A$18:$F$18,1,$CH36+1)),IF(INDEX(MHR[Schichtmodell],$CI36)=3,INDEX(LOC[F3S],INDEX(Premises!$A$18:$F$18,1,$CH36+1)),0)))),
IF(OR($T36="M",$T36="U"),INDEX(Premises!$A$21:$F$21,1,$CH36),
IF(OR($T36="F",$T36="S"),INDEX(Premises!$A$22:$F$22,1,$CH36),0)))*100/INDEX(Premises!$A$16:$F$16,1,$CH36))</f>
        <v>0</v>
      </c>
      <c r="V36" s="614">
        <f t="shared" si="49"/>
        <v>0</v>
      </c>
      <c r="W36" s="393"/>
      <c r="X36" s="386"/>
      <c r="Y36" s="394"/>
      <c r="Z36" s="395"/>
      <c r="AA36" s="611">
        <f t="shared" si="50"/>
        <v>0</v>
      </c>
      <c r="AB36" s="393"/>
      <c r="AC36" s="386"/>
      <c r="AD36" s="394"/>
      <c r="AE36" s="396"/>
      <c r="AF36" s="611">
        <f t="shared" si="51"/>
        <v>0</v>
      </c>
      <c r="AG36" s="612" cm="1">
        <f t="array" ref="AG36">IF(($J36+$V36+$AF36)=0,0,INDEX(Premises!$A$30:$F$30,1,$CH36)/100)</f>
        <v>0</v>
      </c>
      <c r="AH36" s="397"/>
      <c r="AI36" s="398"/>
      <c r="AJ36" s="399"/>
      <c r="AK36" s="613">
        <f t="shared" si="52"/>
        <v>0</v>
      </c>
      <c r="AL36" s="614">
        <f t="shared" si="53"/>
        <v>0</v>
      </c>
      <c r="AM36" s="615" cm="1">
        <f t="array" ref="AM36">IF($CI36=0,0,IFERROR(INDEX(MHR[],$CI36,MATCH($CA36,MHR!$B$4:$AY$4,0)+11),0))</f>
        <v>0</v>
      </c>
      <c r="AN36" s="616" cm="1">
        <f t="array" ref="AN36">IF(($J36+$V36)=0,0,IFERROR(IF(INDEX(Premises!$A$41:$F$41,1,$CH36)&lt;&gt;0,INDEX(Premises!$A$41:$F$41,1,$CH36)/100,(IFERROR(($J36/$I36)*$AM36,0)/($V36+$J36+$R36+$AL36))),0))</f>
        <v>0</v>
      </c>
      <c r="AO36" s="617">
        <f t="shared" si="54"/>
        <v>0</v>
      </c>
      <c r="AP36" s="618">
        <f t="shared" si="55"/>
        <v>0</v>
      </c>
      <c r="AQ36" s="393"/>
      <c r="AR36" s="392"/>
      <c r="AS36" s="619" cm="1">
        <f t="array" ref="AS36">IF($CJ36=0,0,IFERROR(INDEX(MAT[Einheit],$CJ36,1),0))</f>
        <v>0</v>
      </c>
      <c r="AT36" s="620" cm="1">
        <f t="array" ref="AT36">IF($CJ36=0,0,IFERROR(INDEX(MAT[Preis],$CJ36,1),0))</f>
        <v>0</v>
      </c>
      <c r="AU36" s="621">
        <f t="shared" si="56"/>
        <v>0</v>
      </c>
      <c r="AV36" s="622" cm="1">
        <f t="array" ref="AV36">IF($AU36&lt;=0,0,INDEX(Premises!$A$30:$F$30,1,$CH36)/100)</f>
        <v>0</v>
      </c>
      <c r="AW36" s="392"/>
      <c r="AX36" s="614">
        <f t="shared" si="57"/>
        <v>0</v>
      </c>
      <c r="AY36" s="623" cm="1">
        <f t="array" ref="AY36">IF($AT36&lt;=0,0,IFERROR(IF(INDEX(Premises!$A$42:$F$42,1,$CH36)&lt;&gt;0,INDEX(Premises!$A$42:$F$42,1,$CH36)/100,(INDEX(MAT[],$CJ36,MATCH($CA36,MAT!$B$4:$AE$4,0))/($AR36*$CK36*INDEX(Premises!$A$13:$F$13,1,$CH36))+INDEX(MAT[],$CJ36,MATCH($CA36,MAT!$B$4:$AE$4,0)+7))/$AT36),0))</f>
        <v>0</v>
      </c>
      <c r="AZ36" s="614">
        <f t="shared" si="58"/>
        <v>0</v>
      </c>
      <c r="BA36" s="618">
        <f t="shared" si="59"/>
        <v>0</v>
      </c>
      <c r="BB36" s="618">
        <f t="shared" si="60"/>
        <v>0</v>
      </c>
      <c r="BC36" s="622" cm="1">
        <f t="array" ref="BC36">IF($BB36&lt;=0,0,IF(BC$2=-1,0,INDEX(Premises!$A$32:$F$32,1,$CH36)/100))</f>
        <v>0</v>
      </c>
      <c r="BD36" s="614">
        <f t="shared" si="61"/>
        <v>0</v>
      </c>
      <c r="BE36" s="622" cm="1">
        <f t="array" ref="BE36">IF($BB36&lt;=0,0,IF(BE$2=-1,0,INDEX(Premises!$A$33:$F$33,1,$CH36)/100))</f>
        <v>0</v>
      </c>
      <c r="BF36" s="614">
        <f t="shared" si="62"/>
        <v>0</v>
      </c>
      <c r="BG36" s="622" cm="1">
        <f t="array" ref="BG36">IF($BB36&lt;=0,0,IF(BG$2=-1,0,INDEX(Premises!$A$31:$F$31,1,$CH36)/100))</f>
        <v>0</v>
      </c>
      <c r="BH36" s="614">
        <f t="shared" si="63"/>
        <v>0</v>
      </c>
      <c r="BI36" s="618">
        <f t="shared" si="64"/>
        <v>0</v>
      </c>
      <c r="BJ36" s="622" cm="1">
        <f t="array" ref="BJ36">IF($BB36&lt;=0,0,IF(BJ$2=-1,0,INDEX(Premises!$A$35:$F$35,1,$CH36)/100))</f>
        <v>0</v>
      </c>
      <c r="BK36" s="614">
        <f t="shared" si="65"/>
        <v>0</v>
      </c>
      <c r="BL36" s="622" cm="1">
        <f t="array" ref="BL36">IF($BB36&lt;=0,0,IF(BL$2=-1,0,INDEX(Premises!$A$36:$F$36,1,$CH36)/100))</f>
        <v>0</v>
      </c>
      <c r="BM36" s="614">
        <f t="shared" si="66"/>
        <v>0</v>
      </c>
      <c r="BN36" s="622" cm="1">
        <f t="array" ref="BN36">IF($BB36&lt;=0,0,IF(BN$2=-1,0,INDEX(Premises!$A$34:$F$34,1,$CH36)/100))</f>
        <v>0</v>
      </c>
      <c r="BO36" s="614">
        <f t="shared" si="67"/>
        <v>0</v>
      </c>
      <c r="BP36" s="622" cm="1">
        <f t="array" ref="BP36">IF($BI36=0,0,INDEX(Premises!$A$37:$F$37,1,$CH36)/100)</f>
        <v>0</v>
      </c>
      <c r="BQ36" s="392"/>
      <c r="BR36" s="614">
        <f t="shared" si="68"/>
        <v>0</v>
      </c>
      <c r="BS36" s="624">
        <f t="shared" si="69"/>
        <v>0</v>
      </c>
      <c r="BT36" s="624">
        <f t="shared" si="70"/>
        <v>0</v>
      </c>
      <c r="BU36" s="625">
        <f t="shared" si="71"/>
        <v>0</v>
      </c>
      <c r="BV36" s="1127"/>
      <c r="BW36" s="401"/>
      <c r="BX36" s="401"/>
      <c r="BY36" s="402"/>
      <c r="BZ36" s="946"/>
      <c r="CA36" s="263" cm="1">
        <f t="array" ref="CA36">IF($BZ36&gt;0,VALUE(LEFT($BZ36,IF(ISERROR(FIND("-",$BZ36)),LEN($BZ36),FIND("-",$BZ36)-1))),INDEX($CA$1:$CA36,MAX(1,$CD36)))</f>
        <v>1</v>
      </c>
      <c r="CB36" s="263" cm="1">
        <f t="array" ref="CB36">IF($BT36=0,0,IF(LEN($BZ36)-LEN(SUBSTITUTE($BZ36,"-",""))&gt;1,
VALUE(MID($BZ36,FIND("-",$BZ36)+1,FIND("-",$BZ36,FIND("-",$BZ36)+1)-FIND("-",$BZ36)-1)),IF($BZ36&gt;0,0,INDEX($CB$1:$CB36,MAX(1,$CD36)))))</f>
        <v>0</v>
      </c>
      <c r="CC36" s="263" cm="1">
        <f t="array" ref="CC36">IF($BT36=0,0,IF(NOT(ISERROR(FIND("-",BZ36))),
VALUE(RIGHT($BZ36,LEN($BZ36)-IF(LEN($BZ36)-LEN(SUBSTITUTE($BZ36,"-",""))=1,FIND("-",$BZ36),FIND("-",$BZ36,FIND("-",$BZ36)+1)))),
IF($BZ36&gt;0,0,INDEX($CC$1:$CC36,MAX(1,$CD36)))))</f>
        <v>0</v>
      </c>
      <c r="CD36" s="376">
        <f>MATCH(0,$CE$1:$CE36,-1)</f>
        <v>26</v>
      </c>
      <c r="CE36" s="263"/>
      <c r="CF36" s="377"/>
      <c r="CG36" s="376" cm="1">
        <f t="array" ref="CG36">INDEX($CG$1:$CG36,$CD36)</f>
        <v>5</v>
      </c>
      <c r="CH36" s="263">
        <f>MATCH($CA36,Premises!$A$10:$F$10,0)</f>
        <v>4</v>
      </c>
      <c r="CI36" s="263">
        <f>IF(ISBLANK($E36),0,IFERROR(MATCH($E36,MHR[Bezeichnung],0),0))</f>
        <v>0</v>
      </c>
      <c r="CJ36" s="377">
        <f>IF(ISBLANK($AQ36),0,IFERROR(MATCH($AQ36,MAT[Bezeichnung],0),0))</f>
        <v>0</v>
      </c>
      <c r="CK36" s="263" cm="1">
        <f t="array" ref="CK36">INDEX($D$1:$D36,$CD36)</f>
        <v>1</v>
      </c>
      <c r="CL36" s="263"/>
      <c r="CM36" s="378"/>
      <c r="CN36" s="379" cm="1">
        <f t="array" ref="CN36">IF($CB36=0,0,IF($CB36=INDEX($CB$1:$CB36,$CD36),INDEX($CN$1:$CN36,$CD36),$CP36))</f>
        <v>0</v>
      </c>
      <c r="CO36" s="378"/>
      <c r="CP36" s="379" cm="1">
        <f t="array" ref="CP36">IF($CC36=0,0,INDEX($CP$1:$CP36,$CD36))</f>
        <v>0</v>
      </c>
      <c r="CQ36" s="380"/>
      <c r="CR36" s="381"/>
      <c r="CS36" s="381"/>
      <c r="CT36" s="1132"/>
      <c r="CU36" s="1129"/>
      <c r="CV36" s="630">
        <f t="shared" si="72"/>
        <v>0</v>
      </c>
      <c r="CW36" s="631">
        <f t="shared" si="73"/>
        <v>0</v>
      </c>
      <c r="CX36" s="631">
        <f t="shared" si="74"/>
        <v>0</v>
      </c>
      <c r="CY36" s="631">
        <f t="shared" si="75"/>
        <v>0</v>
      </c>
      <c r="CZ36" s="631">
        <f t="shared" si="76"/>
        <v>0</v>
      </c>
      <c r="DA36" s="631">
        <f t="shared" si="77"/>
        <v>0</v>
      </c>
      <c r="DB36" s="631">
        <f t="shared" si="78"/>
        <v>0</v>
      </c>
      <c r="DC36" s="632">
        <f t="shared" si="79"/>
        <v>0</v>
      </c>
      <c r="DD36" s="631">
        <f t="shared" si="80"/>
        <v>0</v>
      </c>
      <c r="DE36" s="631">
        <f t="shared" si="81"/>
        <v>0</v>
      </c>
      <c r="DF36" s="631">
        <f t="shared" si="82"/>
        <v>0</v>
      </c>
      <c r="DG36" s="632">
        <f t="shared" si="83"/>
        <v>0</v>
      </c>
      <c r="DH36" s="632">
        <f t="shared" si="84"/>
        <v>0</v>
      </c>
      <c r="DI36" s="631">
        <f t="shared" si="85"/>
        <v>0</v>
      </c>
      <c r="DJ36" s="631">
        <f t="shared" si="86"/>
        <v>0</v>
      </c>
      <c r="DK36" s="631">
        <f t="shared" si="87"/>
        <v>0</v>
      </c>
      <c r="DL36" s="631">
        <f t="shared" si="88"/>
        <v>0</v>
      </c>
      <c r="DM36" s="631">
        <f t="shared" si="89"/>
        <v>0</v>
      </c>
      <c r="DN36" s="631">
        <f t="shared" si="90"/>
        <v>0</v>
      </c>
      <c r="DO36" s="631">
        <f t="shared" si="91"/>
        <v>0</v>
      </c>
      <c r="DP36" s="634">
        <f t="shared" si="92"/>
        <v>0</v>
      </c>
      <c r="DQ36" s="929">
        <f>IF($CB36=0,0,$DP36*_xlfn.XLOOKUP($CB36,Premises!$A$10:$F$10,Premises!$A$30:$F$30)/100)</f>
        <v>0</v>
      </c>
      <c r="DR36" s="633">
        <f>IFERROR(SUM($DP36:$DQ36)*IF(INDEX(Premises!$A$42:$F$42,1,MATCH($CB36,Premises!$A$10:$F$10,0))&gt;0,INDEX(Premises!$A$42:$F$42,1,MATCH($CB36,Premises!$A$10:$F$10,0))%,$CN36),0)</f>
        <v>0</v>
      </c>
      <c r="DS36" s="633" cm="1">
        <f t="array" ref="DS36">IF($CB36=0,0,SUM($DP36:$DR36)*_xlfn.XLOOKUP($CB36,Premises!$A$10:$F$10,IF(INDEX(Settings[],MATCH(3001,Settings[ID],0),2)="B",Premises!$A$33:$F$33,Premises!$A$31:$F$31))/100)</f>
        <v>0</v>
      </c>
      <c r="DT36" s="633" cm="1">
        <f t="array" ref="DT36">IF($CB36=0,0,$DP36*_xlfn.XLOOKUP($CB36,Premises!$A$10:$F$10,IF(INDEX(Settings[],MATCH(3002,Settings[ID],0),2)="B",Premises!$A$36:$F$36,Premises!$A$34:$F$34))/100)</f>
        <v>0</v>
      </c>
      <c r="DU36" s="633">
        <f>IF($CB36=0,0,SUM($DP36:$DT36)*_xlfn.XLOOKUP($CB36,Premises!$A$10:$F$10,Premises!$A$37:$F$37)/100)</f>
        <v>0</v>
      </c>
      <c r="DV36" s="932">
        <f t="shared" si="93"/>
        <v>0</v>
      </c>
      <c r="DW36" s="929">
        <f>IF($CC36=0,0,$DV36*_xlfn.XLOOKUP($CC36,Premises!$A$10:$F$10,Premises!$A$30:$F$30)/100)</f>
        <v>0</v>
      </c>
      <c r="DX36" s="633">
        <f>IFERROR(SUM($DV36:$DW36)*IF(INDEX(Premises!$A$42:$F$42,1,MATCH($CC36,Premises!$A$10:$F$10,0))&gt;0,INDEX(Premises!$A$42:$F$42,1,MATCH($CC36,Premises!$A$10:$F$10,0))%,$CP36),0)</f>
        <v>0</v>
      </c>
      <c r="DY36" s="633" cm="1">
        <f t="array" ref="DY36">IF($CC36=0,0,SUM($DV36:$DX36)*_xlfn.XLOOKUP($CC36,Premises!$A$10:$F$10,IF(INDEX(Settings[],MATCH(3001,Settings[ID],0),2)="B",Premises!$A$33:$F$33,Premises!$A$31:$F$31))/100)</f>
        <v>0</v>
      </c>
      <c r="DZ36" s="633" cm="1">
        <f t="array" ref="DZ36">IF($CC36=0,0,$DV36*_xlfn.XLOOKUP($CC36,Premises!$A$10:$F$10,IF(INDEX(Settings[],MATCH(3002,Settings[ID],0),2)="B",Premises!$A$36:$F$36,Premises!$A$34:$F$34))/100)</f>
        <v>0</v>
      </c>
      <c r="EA36" s="633">
        <f>IF($CC36=0,0,SUM($DV36:$DZ36)*_xlfn.XLOOKUP($CC36,Premises!$A$10:$F$10,Premises!$A$37:$F$37)/100)</f>
        <v>0</v>
      </c>
      <c r="EB36" s="634">
        <f t="shared" si="94"/>
        <v>0</v>
      </c>
      <c r="EC36" s="783"/>
      <c r="ED36" s="1082"/>
      <c r="EE36" s="633"/>
      <c r="EF36" s="1088"/>
      <c r="EG36" s="1086"/>
      <c r="EH36" s="1086"/>
      <c r="EI36" s="1086"/>
      <c r="EJ36" s="1086"/>
      <c r="EK36" s="1086"/>
      <c r="EL36" s="1086"/>
      <c r="EM36" s="1088"/>
      <c r="EN36" s="1086"/>
      <c r="EO36" s="1086"/>
      <c r="EP36" s="1086"/>
      <c r="EQ36" s="1086"/>
      <c r="ER36" s="1088"/>
      <c r="ES36" s="1086"/>
      <c r="ET36" s="1086"/>
      <c r="EU36" s="1086"/>
      <c r="EV36" s="1086"/>
      <c r="EW36" s="1086"/>
      <c r="EX36" s="1089"/>
      <c r="EY36" s="2"/>
      <c r="EZ36" s="2"/>
      <c r="FA36" s="2"/>
      <c r="FB36" s="2"/>
      <c r="FC36" s="2"/>
      <c r="FD36" s="2"/>
      <c r="FE36" s="2"/>
      <c r="FF36" s="2"/>
      <c r="FG36" s="2"/>
      <c r="FH36" s="2"/>
      <c r="FI36" s="2"/>
      <c r="FJ36" s="403"/>
      <c r="FK36" s="404"/>
      <c r="FL36" s="405"/>
      <c r="FM36" s="1133"/>
    </row>
    <row r="37" spans="1:169" s="13" customFormat="1" ht="12.75" customHeight="1">
      <c r="A37" s="215"/>
      <c r="B37" s="385"/>
      <c r="C37" s="386"/>
      <c r="D37" s="629"/>
      <c r="E37" s="387"/>
      <c r="F37" s="388"/>
      <c r="G37" s="388"/>
      <c r="H37" s="388"/>
      <c r="I37" s="620" cm="1">
        <f t="array" ref="I37">IF($CI37=0,0,IFERROR(INDEX(MHR[],$CI37,MATCH($CA37,MHR!$B$4:$AY$4,0)),0))</f>
        <v>0</v>
      </c>
      <c r="J37" s="617">
        <f t="shared" si="48"/>
        <v>0</v>
      </c>
      <c r="K37" s="389"/>
      <c r="L37" s="390"/>
      <c r="M37" s="849"/>
      <c r="N37" s="390"/>
      <c r="O37" s="388"/>
      <c r="P37" s="628" cm="1">
        <f t="array" ref="P37">IF($K37=0,0,IFERROR(ROUNDUP(IF(ISNUMBER($K37),$K37,INDEX($D$1:$D37,$CD37)*INDEX(Premises!$A$13:$F$13,1,$CH37)/IF(OR($K37="T",$K37="D"),250,IF($K37="W",50,IF($K37="M",12,IF(OR($K37="HJ",$K37="HY"),2,IF(OR($K37="J",$K37="Y"),1,0)))))),0),0))</f>
        <v>0</v>
      </c>
      <c r="Q37" s="620" cm="1">
        <f t="array" ref="Q37">IF($K37=0,0,IFERROR(INDEX(Premises!$A$22:$F$22,1,$CH37)*100/INDEX(Premises!$A$16:$F$16,1,$CH37),0))</f>
        <v>0</v>
      </c>
      <c r="R37" s="617">
        <f>IF($P37=0,0,IFERROR(($L37/60*($I37+$Q37*$M37)+($N37/60*($Q37*$O37)))/$P37,0))</f>
        <v>0</v>
      </c>
      <c r="S37" s="391"/>
      <c r="T37" s="392"/>
      <c r="U37" s="620" cm="1">
        <f t="array" ref="U37">IF(COUNTBLANK($S37:$T37),0,
IF(AND(INDEX(MHR[Schichtmodell],$CI37)&lt;&gt;0,INDEX(MHR[Schichtmodell],$CI37)&lt;&gt;INDEX(Premises!$A$20:$F$20,1,$CH37)),ExchangeRate*
IF(OR($T37="M",$T37="U"),IF(INDEX(MHR[Schichtmodell],$CI37)=1,INDEX(LOC[M1S],INDEX(Premises!$A$18:$F$18,1,$CH37+1)),IF(INDEX(MHR[Schichtmodell],$CI37)=2,INDEX(LOC[M2S],INDEX(Premises!$A$18:$F$18,1,$CH37+1),IF(INDEX(MHR[Schichtmodell],$CI37)=3,INDEX(LOC[M3S],INDEX(Premises!$A$18:$F$18,1,$CH37+1)),0)))),
IF(INDEX(MHR[Schichtmodell],$CI37)=1,INDEX(LOC[F1S],INDEX(Premises!$A$18:$F$18,1,$CH37+1)),IF(INDEX(MHR[Schichtmodell],$CI37)=2,INDEX(LOC[F2S],INDEX(Premises!$A$18:$F$18,1,$CH37+1)),IF(INDEX(MHR[Schichtmodell],$CI37)=3,INDEX(LOC[F3S],INDEX(Premises!$A$18:$F$18,1,$CH37+1)),0)))),
IF(OR($T37="M",$T37="U"),INDEX(Premises!$A$21:$F$21,1,$CH37),
IF(OR($T37="F",$T37="S"),INDEX(Premises!$A$22:$F$22,1,$CH37),0)))*100/INDEX(Premises!$A$16:$F$16,1,$CH37))</f>
        <v>0</v>
      </c>
      <c r="V37" s="614">
        <f t="shared" si="49"/>
        <v>0</v>
      </c>
      <c r="W37" s="393"/>
      <c r="X37" s="386"/>
      <c r="Y37" s="394"/>
      <c r="Z37" s="395"/>
      <c r="AA37" s="611">
        <f t="shared" si="50"/>
        <v>0</v>
      </c>
      <c r="AB37" s="393"/>
      <c r="AC37" s="386"/>
      <c r="AD37" s="394"/>
      <c r="AE37" s="396"/>
      <c r="AF37" s="611">
        <f t="shared" si="51"/>
        <v>0</v>
      </c>
      <c r="AG37" s="612" cm="1">
        <f t="array" ref="AG37">IF(($J37+$V37+$AF37)=0,0,INDEX(Premises!$A$30:$F$30,1,$CH37)/100)</f>
        <v>0</v>
      </c>
      <c r="AH37" s="397"/>
      <c r="AI37" s="398"/>
      <c r="AJ37" s="399"/>
      <c r="AK37" s="613">
        <f t="shared" si="52"/>
        <v>0</v>
      </c>
      <c r="AL37" s="614">
        <f t="shared" si="53"/>
        <v>0</v>
      </c>
      <c r="AM37" s="615" cm="1">
        <f t="array" ref="AM37">IF($CI37=0,0,IFERROR(INDEX(MHR[],$CI37,MATCH($CA37,MHR!$B$4:$AY$4,0)+11),0))</f>
        <v>0</v>
      </c>
      <c r="AN37" s="616" cm="1">
        <f t="array" ref="AN37">IF(($J37+$V37)=0,0,IFERROR(IF(INDEX(Premises!$A$41:$F$41,1,$CH37)&lt;&gt;0,INDEX(Premises!$A$41:$F$41,1,$CH37)/100,(IFERROR(($J37/$I37)*$AM37,0)/($V37+$J37+$R37+$AL37))),0))</f>
        <v>0</v>
      </c>
      <c r="AO37" s="617">
        <f t="shared" si="54"/>
        <v>0</v>
      </c>
      <c r="AP37" s="618">
        <f t="shared" si="55"/>
        <v>0</v>
      </c>
      <c r="AQ37" s="393"/>
      <c r="AR37" s="392"/>
      <c r="AS37" s="619" cm="1">
        <f t="array" ref="AS37">IF($CJ37=0,0,IFERROR(INDEX(MAT[Einheit],$CJ37,1),0))</f>
        <v>0</v>
      </c>
      <c r="AT37" s="620" cm="1">
        <f t="array" ref="AT37">IF($CJ37=0,0,IFERROR(INDEX(MAT[Preis],$CJ37,1),0))</f>
        <v>0</v>
      </c>
      <c r="AU37" s="621">
        <f t="shared" si="56"/>
        <v>0</v>
      </c>
      <c r="AV37" s="622" cm="1">
        <f t="array" ref="AV37">IF($AU37&lt;=0,0,INDEX(Premises!$A$30:$F$30,1,$CH37)/100)</f>
        <v>0</v>
      </c>
      <c r="AW37" s="392"/>
      <c r="AX37" s="614">
        <f t="shared" si="57"/>
        <v>0</v>
      </c>
      <c r="AY37" s="623" cm="1">
        <f t="array" ref="AY37">IF($AT37&lt;=0,0,IFERROR(IF(INDEX(Premises!$A$42:$F$42,1,$CH37)&lt;&gt;0,INDEX(Premises!$A$42:$F$42,1,$CH37)/100,(INDEX(MAT[],$CJ37,MATCH($CA37,MAT!$B$4:$AE$4,0))/($AR37*$CK37*INDEX(Premises!$A$13:$F$13,1,$CH37))+INDEX(MAT[],$CJ37,MATCH($CA37,MAT!$B$4:$AE$4,0)+7))/$AT37),0))</f>
        <v>0</v>
      </c>
      <c r="AZ37" s="614">
        <f t="shared" si="58"/>
        <v>0</v>
      </c>
      <c r="BA37" s="618">
        <f t="shared" si="59"/>
        <v>0</v>
      </c>
      <c r="BB37" s="618">
        <f t="shared" si="60"/>
        <v>0</v>
      </c>
      <c r="BC37" s="622" cm="1">
        <f t="array" ref="BC37">IF($BB37&lt;=0,0,IF(BC$2=-1,0,INDEX(Premises!$A$32:$F$32,1,$CH37)/100))</f>
        <v>0</v>
      </c>
      <c r="BD37" s="614">
        <f t="shared" si="61"/>
        <v>0</v>
      </c>
      <c r="BE37" s="622" cm="1">
        <f t="array" ref="BE37">IF($BB37&lt;=0,0,IF(BE$2=-1,0,INDEX(Premises!$A$33:$F$33,1,$CH37)/100))</f>
        <v>0</v>
      </c>
      <c r="BF37" s="614">
        <f t="shared" si="62"/>
        <v>0</v>
      </c>
      <c r="BG37" s="622" cm="1">
        <f t="array" ref="BG37">IF($BB37&lt;=0,0,IF(BG$2=-1,0,INDEX(Premises!$A$31:$F$31,1,$CH37)/100))</f>
        <v>0</v>
      </c>
      <c r="BH37" s="614">
        <f t="shared" si="63"/>
        <v>0</v>
      </c>
      <c r="BI37" s="618">
        <f t="shared" si="64"/>
        <v>0</v>
      </c>
      <c r="BJ37" s="622" cm="1">
        <f t="array" ref="BJ37">IF($BB37&lt;=0,0,IF(BJ$2=-1,0,INDEX(Premises!$A$35:$F$35,1,$CH37)/100))</f>
        <v>0</v>
      </c>
      <c r="BK37" s="614">
        <f t="shared" si="65"/>
        <v>0</v>
      </c>
      <c r="BL37" s="622" cm="1">
        <f t="array" ref="BL37">IF($BB37&lt;=0,0,IF(BL$2=-1,0,INDEX(Premises!$A$36:$F$36,1,$CH37)/100))</f>
        <v>0</v>
      </c>
      <c r="BM37" s="614">
        <f t="shared" si="66"/>
        <v>0</v>
      </c>
      <c r="BN37" s="622" cm="1">
        <f t="array" ref="BN37">IF($BB37&lt;=0,0,IF(BN$2=-1,0,INDEX(Premises!$A$34:$F$34,1,$CH37)/100))</f>
        <v>0</v>
      </c>
      <c r="BO37" s="614">
        <f t="shared" si="67"/>
        <v>0</v>
      </c>
      <c r="BP37" s="622" cm="1">
        <f t="array" ref="BP37">IF($BI37=0,0,INDEX(Premises!$A$37:$F$37,1,$CH37)/100)</f>
        <v>0</v>
      </c>
      <c r="BQ37" s="392"/>
      <c r="BR37" s="614">
        <f t="shared" si="68"/>
        <v>0</v>
      </c>
      <c r="BS37" s="624">
        <f t="shared" si="69"/>
        <v>0</v>
      </c>
      <c r="BT37" s="624">
        <f t="shared" si="70"/>
        <v>0</v>
      </c>
      <c r="BU37" s="625">
        <f t="shared" si="71"/>
        <v>0</v>
      </c>
      <c r="BV37" s="400"/>
      <c r="BW37" s="401"/>
      <c r="BX37" s="401"/>
      <c r="BY37" s="402"/>
      <c r="BZ37" s="946"/>
      <c r="CA37" s="263" cm="1">
        <f t="array" ref="CA37">IF($BZ37&gt;0,VALUE(LEFT($BZ37,IF(ISERROR(FIND("-",$BZ37)),LEN($BZ37),FIND("-",$BZ37)-1))),INDEX($CA$1:$CA37,MAX(1,$CD37)))</f>
        <v>1</v>
      </c>
      <c r="CB37" s="263" cm="1">
        <f t="array" ref="CB37">IF($BT37=0,0,IF(LEN($BZ37)-LEN(SUBSTITUTE($BZ37,"-",""))&gt;1,
VALUE(MID($BZ37,FIND("-",$BZ37)+1,FIND("-",$BZ37,FIND("-",$BZ37)+1)-FIND("-",$BZ37)-1)),IF($BZ37&gt;0,0,INDEX($CB$1:$CB37,MAX(1,$CD37)))))</f>
        <v>0</v>
      </c>
      <c r="CC37" s="263" cm="1">
        <f t="array" ref="CC37">IF($BT37=0,0,IF(NOT(ISERROR(FIND("-",BZ37))),
VALUE(RIGHT($BZ37,LEN($BZ37)-IF(LEN($BZ37)-LEN(SUBSTITUTE($BZ37,"-",""))=1,FIND("-",$BZ37),FIND("-",$BZ37,FIND("-",$BZ37)+1)))),
IF($BZ37&gt;0,0,INDEX($CC$1:$CC37,MAX(1,$CD37)))))</f>
        <v>0</v>
      </c>
      <c r="CD37" s="376">
        <f>MATCH(0,$CE$1:$CE37,-1)</f>
        <v>26</v>
      </c>
      <c r="CE37" s="263"/>
      <c r="CF37" s="377"/>
      <c r="CG37" s="376" cm="1">
        <f t="array" ref="CG37">INDEX($CG$1:$CG37,$CD37)</f>
        <v>5</v>
      </c>
      <c r="CH37" s="263">
        <f>MATCH($CA37,Premises!$A$10:$F$10,0)</f>
        <v>4</v>
      </c>
      <c r="CI37" s="263">
        <f>IF(ISBLANK($E37),0,IFERROR(MATCH($E37,MHR[Bezeichnung],0),0))</f>
        <v>0</v>
      </c>
      <c r="CJ37" s="377">
        <f>IF(ISBLANK($AQ37),0,IFERROR(MATCH($AQ37,MAT[Bezeichnung],0),0))</f>
        <v>0</v>
      </c>
      <c r="CK37" s="263" cm="1">
        <f t="array" ref="CK37">INDEX($D$1:$D37,$CD37)</f>
        <v>1</v>
      </c>
      <c r="CL37" s="263"/>
      <c r="CM37" s="378"/>
      <c r="CN37" s="379" cm="1">
        <f t="array" ref="CN37">IF($CB37=0,0,IF($CB37=INDEX($CB$1:$CB37,$CD37),INDEX($CN$1:$CN37,$CD37),$CP37))</f>
        <v>0</v>
      </c>
      <c r="CO37" s="378"/>
      <c r="CP37" s="379" cm="1">
        <f t="array" ref="CP37">IF($CC37=0,0,INDEX($CP$1:$CP37,$CD37))</f>
        <v>0</v>
      </c>
      <c r="CQ37" s="380"/>
      <c r="CR37" s="381"/>
      <c r="CS37" s="381"/>
      <c r="CT37" s="948"/>
      <c r="CU37" s="2"/>
      <c r="CV37" s="630">
        <f t="shared" si="72"/>
        <v>0</v>
      </c>
      <c r="CW37" s="631">
        <f t="shared" si="73"/>
        <v>0</v>
      </c>
      <c r="CX37" s="631">
        <f t="shared" si="74"/>
        <v>0</v>
      </c>
      <c r="CY37" s="631">
        <f t="shared" si="75"/>
        <v>0</v>
      </c>
      <c r="CZ37" s="631">
        <f t="shared" si="76"/>
        <v>0</v>
      </c>
      <c r="DA37" s="631">
        <f t="shared" si="77"/>
        <v>0</v>
      </c>
      <c r="DB37" s="631">
        <f t="shared" si="78"/>
        <v>0</v>
      </c>
      <c r="DC37" s="632">
        <f t="shared" si="79"/>
        <v>0</v>
      </c>
      <c r="DD37" s="631">
        <f t="shared" si="80"/>
        <v>0</v>
      </c>
      <c r="DE37" s="631">
        <f t="shared" si="81"/>
        <v>0</v>
      </c>
      <c r="DF37" s="631">
        <f t="shared" si="82"/>
        <v>0</v>
      </c>
      <c r="DG37" s="632">
        <f t="shared" si="83"/>
        <v>0</v>
      </c>
      <c r="DH37" s="632">
        <f t="shared" si="84"/>
        <v>0</v>
      </c>
      <c r="DI37" s="631">
        <f t="shared" si="85"/>
        <v>0</v>
      </c>
      <c r="DJ37" s="631">
        <f t="shared" si="86"/>
        <v>0</v>
      </c>
      <c r="DK37" s="631">
        <f t="shared" si="87"/>
        <v>0</v>
      </c>
      <c r="DL37" s="631">
        <f t="shared" si="88"/>
        <v>0</v>
      </c>
      <c r="DM37" s="631">
        <f t="shared" si="89"/>
        <v>0</v>
      </c>
      <c r="DN37" s="631">
        <f t="shared" si="90"/>
        <v>0</v>
      </c>
      <c r="DO37" s="631">
        <f t="shared" si="91"/>
        <v>0</v>
      </c>
      <c r="DP37" s="634">
        <f t="shared" si="92"/>
        <v>0</v>
      </c>
      <c r="DQ37" s="929">
        <f>IF($CB37=0,0,$DP37*_xlfn.XLOOKUP($CB37,Premises!$A$10:$F$10,Premises!$A$30:$F$30)/100)</f>
        <v>0</v>
      </c>
      <c r="DR37" s="633">
        <f>IFERROR(SUM($DP37:$DQ37)*IF(INDEX(Premises!$A$42:$F$42,1,MATCH($CB37,Premises!$A$10:$F$10,0))&gt;0,INDEX(Premises!$A$42:$F$42,1,MATCH($CB37,Premises!$A$10:$F$10,0))%,$CN37),0)</f>
        <v>0</v>
      </c>
      <c r="DS37" s="633" cm="1">
        <f t="array" ref="DS37">IF($CB37=0,0,SUM($DP37:$DR37)*_xlfn.XLOOKUP($CB37,Premises!$A$10:$F$10,IF(INDEX(Settings[],MATCH(3001,Settings[ID],0),2)="B",Premises!$A$33:$F$33,Premises!$A$31:$F$31))/100)</f>
        <v>0</v>
      </c>
      <c r="DT37" s="633" cm="1">
        <f t="array" ref="DT37">IF($CB37=0,0,$DP37*_xlfn.XLOOKUP($CB37,Premises!$A$10:$F$10,IF(INDEX(Settings[],MATCH(3002,Settings[ID],0),2)="B",Premises!$A$36:$F$36,Premises!$A$34:$F$34))/100)</f>
        <v>0</v>
      </c>
      <c r="DU37" s="633">
        <f>IF($CB37=0,0,SUM($DP37:$DT37)*_xlfn.XLOOKUP($CB37,Premises!$A$10:$F$10,Premises!$A$37:$F$37)/100)</f>
        <v>0</v>
      </c>
      <c r="DV37" s="932">
        <f t="shared" si="93"/>
        <v>0</v>
      </c>
      <c r="DW37" s="929">
        <f>IF($CC37=0,0,$DV37*_xlfn.XLOOKUP($CC37,Premises!$A$10:$F$10,Premises!$A$30:$F$30)/100)</f>
        <v>0</v>
      </c>
      <c r="DX37" s="633">
        <f>IFERROR(SUM($DV37:$DW37)*IF(INDEX(Premises!$A$42:$F$42,1,MATCH($CC37,Premises!$A$10:$F$10,0))&gt;0,INDEX(Premises!$A$42:$F$42,1,MATCH($CC37,Premises!$A$10:$F$10,0))%,$CP37),0)</f>
        <v>0</v>
      </c>
      <c r="DY37" s="633" cm="1">
        <f t="array" ref="DY37">IF($CC37=0,0,SUM($DV37:$DX37)*_xlfn.XLOOKUP($CC37,Premises!$A$10:$F$10,IF(INDEX(Settings[],MATCH(3001,Settings[ID],0),2)="B",Premises!$A$33:$F$33,Premises!$A$31:$F$31))/100)</f>
        <v>0</v>
      </c>
      <c r="DZ37" s="633" cm="1">
        <f t="array" ref="DZ37">IF($CC37=0,0,$DV37*_xlfn.XLOOKUP($CC37,Premises!$A$10:$F$10,IF(INDEX(Settings[],MATCH(3002,Settings[ID],0),2)="B",Premises!$A$36:$F$36,Premises!$A$34:$F$34))/100)</f>
        <v>0</v>
      </c>
      <c r="EA37" s="633">
        <f>IF($CC37=0,0,SUM($DV37:$DZ37)*_xlfn.XLOOKUP($CC37,Premises!$A$10:$F$10,Premises!$A$37:$F$37)/100)</f>
        <v>0</v>
      </c>
      <c r="EB37" s="634">
        <f t="shared" si="94"/>
        <v>0</v>
      </c>
      <c r="EC37" s="783"/>
      <c r="ED37" s="1082"/>
      <c r="EE37" s="633"/>
      <c r="EF37" s="1088"/>
      <c r="EG37" s="1086"/>
      <c r="EH37" s="1086"/>
      <c r="EI37" s="1086"/>
      <c r="EJ37" s="1086"/>
      <c r="EK37" s="1086"/>
      <c r="EL37" s="1086"/>
      <c r="EM37" s="1088"/>
      <c r="EN37" s="1086"/>
      <c r="EO37" s="1086"/>
      <c r="EP37" s="1086"/>
      <c r="EQ37" s="1086"/>
      <c r="ER37" s="1088"/>
      <c r="ES37" s="1086"/>
      <c r="ET37" s="1086"/>
      <c r="EU37" s="1086"/>
      <c r="EV37" s="1086"/>
      <c r="EW37" s="1086"/>
      <c r="EX37" s="1089"/>
      <c r="EY37" s="2"/>
      <c r="EZ37" s="2"/>
      <c r="FA37" s="2"/>
      <c r="FB37" s="2"/>
      <c r="FC37" s="2"/>
      <c r="FD37" s="2"/>
      <c r="FE37" s="2"/>
      <c r="FF37" s="2"/>
      <c r="FG37" s="2"/>
      <c r="FH37" s="2"/>
      <c r="FI37" s="2"/>
      <c r="FJ37" s="403"/>
      <c r="FK37" s="404"/>
      <c r="FL37" s="405"/>
      <c r="FM37" s="948"/>
    </row>
    <row r="38" spans="1:169" s="13" customFormat="1" ht="12.75" customHeight="1">
      <c r="A38" s="215"/>
      <c r="B38" s="370" t="str">
        <f>BOM!$A$6</f>
        <v>01-01-02 PCB UI</v>
      </c>
      <c r="C38" s="371"/>
      <c r="D38" s="372" cm="1">
        <f t="array" ref="D38">IF($CG38=0,0,INDEX(BOM!$N:$N,$CG38))</f>
        <v>1</v>
      </c>
      <c r="E38" s="627" t="s">
        <v>664</v>
      </c>
      <c r="F38" s="627" t="s">
        <v>664</v>
      </c>
      <c r="G38" s="627" t="s">
        <v>664</v>
      </c>
      <c r="H38" s="627" t="s">
        <v>664</v>
      </c>
      <c r="I38" s="627" t="s">
        <v>664</v>
      </c>
      <c r="J38" s="627" t="s">
        <v>664</v>
      </c>
      <c r="K38" s="627" t="s">
        <v>664</v>
      </c>
      <c r="L38" s="627" t="s">
        <v>664</v>
      </c>
      <c r="M38" s="627" t="s">
        <v>664</v>
      </c>
      <c r="N38" s="627" t="s">
        <v>664</v>
      </c>
      <c r="O38" s="627" t="s">
        <v>664</v>
      </c>
      <c r="P38" s="627" t="s">
        <v>664</v>
      </c>
      <c r="Q38" s="627" t="s">
        <v>664</v>
      </c>
      <c r="R38" s="627" t="s">
        <v>664</v>
      </c>
      <c r="S38" s="627" t="s">
        <v>664</v>
      </c>
      <c r="T38" s="627" t="s">
        <v>664</v>
      </c>
      <c r="U38" s="627" t="s">
        <v>664</v>
      </c>
      <c r="V38" s="627" t="s">
        <v>664</v>
      </c>
      <c r="W38" s="627" t="s">
        <v>664</v>
      </c>
      <c r="X38" s="627" t="s">
        <v>664</v>
      </c>
      <c r="Y38" s="627" t="s">
        <v>664</v>
      </c>
      <c r="Z38" s="627" t="s">
        <v>664</v>
      </c>
      <c r="AA38" s="627" t="s">
        <v>664</v>
      </c>
      <c r="AB38" s="627" t="s">
        <v>664</v>
      </c>
      <c r="AC38" s="627" t="s">
        <v>664</v>
      </c>
      <c r="AD38" s="627" t="s">
        <v>664</v>
      </c>
      <c r="AE38" s="627" t="s">
        <v>664</v>
      </c>
      <c r="AF38" s="627" t="s">
        <v>664</v>
      </c>
      <c r="AG38" s="627" t="s">
        <v>664</v>
      </c>
      <c r="AH38" s="627" t="s">
        <v>664</v>
      </c>
      <c r="AI38" s="627" t="s">
        <v>664</v>
      </c>
      <c r="AJ38" s="627" t="s">
        <v>664</v>
      </c>
      <c r="AK38" s="627" t="s">
        <v>664</v>
      </c>
      <c r="AL38" s="627" t="s">
        <v>664</v>
      </c>
      <c r="AM38" s="627" t="s">
        <v>664</v>
      </c>
      <c r="AN38" s="627" t="s">
        <v>664</v>
      </c>
      <c r="AO38" s="627" t="s">
        <v>664</v>
      </c>
      <c r="AP38" s="627" t="s">
        <v>664</v>
      </c>
      <c r="AQ38" s="627" t="s">
        <v>664</v>
      </c>
      <c r="AR38" s="627" t="s">
        <v>664</v>
      </c>
      <c r="AS38" s="627" t="s">
        <v>664</v>
      </c>
      <c r="AT38" s="627" t="s">
        <v>664</v>
      </c>
      <c r="AU38" s="627" t="s">
        <v>664</v>
      </c>
      <c r="AV38" s="627" t="s">
        <v>664</v>
      </c>
      <c r="AW38" s="627" t="s">
        <v>664</v>
      </c>
      <c r="AX38" s="627" t="s">
        <v>664</v>
      </c>
      <c r="AY38" s="627" t="s">
        <v>664</v>
      </c>
      <c r="AZ38" s="627" t="s">
        <v>664</v>
      </c>
      <c r="BA38" s="627" t="s">
        <v>664</v>
      </c>
      <c r="BB38" s="627" t="s">
        <v>664</v>
      </c>
      <c r="BC38" s="627" t="s">
        <v>664</v>
      </c>
      <c r="BD38" s="627" t="s">
        <v>664</v>
      </c>
      <c r="BE38" s="627" t="s">
        <v>664</v>
      </c>
      <c r="BF38" s="627" t="s">
        <v>664</v>
      </c>
      <c r="BG38" s="627" t="s">
        <v>664</v>
      </c>
      <c r="BH38" s="627" t="s">
        <v>664</v>
      </c>
      <c r="BI38" s="627" t="s">
        <v>664</v>
      </c>
      <c r="BJ38" s="627" t="s">
        <v>664</v>
      </c>
      <c r="BK38" s="627" t="s">
        <v>664</v>
      </c>
      <c r="BL38" s="627" t="s">
        <v>664</v>
      </c>
      <c r="BM38" s="627" t="s">
        <v>664</v>
      </c>
      <c r="BN38" s="627" t="s">
        <v>664</v>
      </c>
      <c r="BO38" s="627" t="s">
        <v>664</v>
      </c>
      <c r="BP38" s="627" t="s">
        <v>664</v>
      </c>
      <c r="BQ38" s="627" t="s">
        <v>664</v>
      </c>
      <c r="BR38" s="627" t="s">
        <v>664</v>
      </c>
      <c r="BS38" s="898">
        <f>SUM(INDEX($BS:$BS,ROW()+1):INDEX($BS:$BS,$CE38))</f>
        <v>11.977251689684765</v>
      </c>
      <c r="BT38" s="898">
        <f>SUM(INDEX($BT:$BT,ROW()+1):INDEX($BT:$BT,$CE38))</f>
        <v>11.977251689684765</v>
      </c>
      <c r="BU38" s="627" t="s">
        <v>664</v>
      </c>
      <c r="BV38" s="626">
        <f>SUMPRODUCT($BS38:INDEX($BS:$BS,$CE38),$BU38:INDEX($BU:$BU,$CE38))</f>
        <v>11.977251689684765</v>
      </c>
      <c r="BW38" s="373">
        <f>$D38*$BV38</f>
        <v>11.977251689684765</v>
      </c>
      <c r="BX38" s="794" cm="1">
        <f t="array" ref="BX38">IF($CG38=0,0,IF(INDEX(BOM!$P:$P,$CG38)=0,0,
SUMPRODUCT($BW38:INDEX($BW:$BW,IFERROR(ROW()+MATCH($CL38,INDEX($CL:$CL,ROW()+1):INDEX($CL:$CL,MAX($CE:$CE)),0)-1,MAX($CE:$CE))),
($CL38:INDEX($CL:$CL,IFERROR(ROW()+MATCH($CL38,INDEX($CL:$CL,ROW()+1):INDEX($CL:$CL,MAX($CE:$CE)),0)-1,MAX($CE:$CE)))&gt;=$CL38)*1)
))</f>
        <v>0</v>
      </c>
      <c r="BY38" s="374"/>
      <c r="BZ38" s="375" cm="1">
        <f t="array" ref="BZ38">IF($CG38=0,0,INDEX(BOM!$M:$M,$CG38))</f>
        <v>1</v>
      </c>
      <c r="CA38" s="263">
        <f>IF($BZ38&gt;0,VALUE(LEFT($BZ38,IF(ISERROR(FIND("-",$BZ38)),LEN($BZ38),FIND("-",$BZ38)-1))),INDEX($BZ$1:BZ38,MATCH("",$A$1:A38,-1)))</f>
        <v>1</v>
      </c>
      <c r="CB38" s="263">
        <f>IF(LEN($BZ38)-LEN(SUBSTITUTE($BZ38,"-",))&gt;1,
VALUE(MID($BZ38,FIND("-",$BZ38)+1,FIND("-",$BZ38,FIND("-",$BZ38)+1)-FIND("-",$BZ38)-1)),0)</f>
        <v>0</v>
      </c>
      <c r="CC38" s="263">
        <f>IF(NOT(ISERROR(FIND("-",BZ38))),
VALUE(RIGHT($BZ38,LEN($BZ38)-IF(LEN($BZ38)-LEN(SUBSTITUTE($BZ38,"-",""))=1,FIND("-",$BZ38),FIND("-",$BZ38,FIND("-",$BZ38)+1)))),0)</f>
        <v>0</v>
      </c>
      <c r="CD38" s="376"/>
      <c r="CE38" s="263" cm="1">
        <f t="array" ref="CE38">ROW()+MATCH(TRUE,_xlfn.ISFORMULA(INDEX(BW:BW,ROW()+1):INDEX(BW:BW,ROW()+MaxNumberOfRowsPerBlock)),0)-1</f>
        <v>46</v>
      </c>
      <c r="CF38" s="377" cm="1">
        <f t="array" ref="CF38">IF(CL38=0,-1,IF(CL38=1,7,MAX(IF($CL$1:$CL38=CL38-1,ROW($CL$1:$CL38),0))))</f>
        <v>17</v>
      </c>
      <c r="CG38" s="376">
        <f>IFERROR(MATCH($B38,BOM!$A:$A,0),0)</f>
        <v>6</v>
      </c>
      <c r="CH38" s="263">
        <f>MATCH($CA38,Premises!$A$10:$F$10,0)</f>
        <v>4</v>
      </c>
      <c r="CI38" s="263"/>
      <c r="CJ38" s="377"/>
      <c r="CK38" s="263"/>
      <c r="CL38" s="263" cm="1">
        <f t="array" ref="CL38">IF($CG38=0,0,INDEX(BOM!$C:$C,$CG38))</f>
        <v>3</v>
      </c>
      <c r="CM38" s="378" cm="1">
        <f t="array" ref="CM38">IF($CG38=0,0,IF(OR($CF38&lt;0,AND(INDEX($CB:$CB,$CF38)=$CB38,INDEX($CC:$CC,$CF38)=$CC38)),0,IF(INDEX(BOM!$P:$P,$CG38)=0,$BT38,(SUMIF($CA38:INDEX($CA:$CA,IFERROR(ROW()+MATCH($CL38,INDEX($CL:$CL,ROW()+1):INDEX($CL:$CL,MAX($CE:$CE)),0)-1,MAX($CE:$CE))),$CA38,$BT38:INDEX($BT:$BT,IFERROR(ROW()+MATCH($CL38,INDEX($CL:$CL,ROW()+1):INDEX($CL:$CL,MAX($CE:$CE)),0)-1,MAX($CE:$CE))))+SUMIF($CB38:INDEX($CB:$CB,IFERROR(ROW()+MATCH($CL38,INDEX($CL:$CL,ROW()+1):INDEX($CL:$CL,MAX($CE:$CE)),0)-1,MAX($CE:$CE))),$CA38,$BT38:INDEX($BT:$BT,IFERROR(ROW()+MATCH($CL38,INDEX($CL:$CL,ROW()+1):INDEX($CL:$CL,MAX($CE:$CE)),0)-1,MAX($CE:$CE)))))/2)))</f>
        <v>0</v>
      </c>
      <c r="CN38" s="379" cm="1">
        <f t="array" ref="CN38">IFERROR(IF($CB38=0,0,IF($CM38=0,INDEX($CN$1:$CN38,$CF38),INDEX(IF($CM38&lt;0.2,Premises!$A$43:$F$43,IF($CM38&lt;5,Premises!$A$46:$F$46,Premises!$A$49:$F$49)),MATCH($CB38,Premises!$A$10:$F$10,0))/($CM38*INDEX(Premises!$A$13:$F$13,MATCH($CB38,Premises!$A$10:$F$10,0)))+INDEX(IF($CM38&lt;0.2,Premises!$A$44:$F$44,IF($CM38&lt;5,Premises!$A$47:$F$47,Premises!$A$50:$F$50)),MATCH($CB38,Premises!$A$10:$F$10,0))+INDEX(IF($CM38&lt;0.2,Premises!$A$45:$F$45,IF($CM38&lt;5,Premises!$A$48:$F$48,Premises!$A$51:$F$51)),MATCH($CB38,Premises!$A$10:$F$10,0))/$CM38)),0.01)</f>
        <v>0</v>
      </c>
      <c r="CO38" s="378" cm="1">
        <f t="array" ref="CO38">IF($CG38=0,0,IF(INDEX($CC:$CC,$CF38)=$CC38,0,$CM38*(1+IFERROR(INDEX(Premises!$A$52:$F$52,1,MATCH($CB38,Premises!$A$10:$F$10,0)),0)+$CN38)))</f>
        <v>0</v>
      </c>
      <c r="CP38" s="379" cm="1">
        <f t="array" ref="CP38">IFERROR(IF($CC38=0,0,IF($CO38=0,INDEX($CP$1:$CP38,$CF38),INDEX(IF($CO38&lt;0.2,Premises!$A$43:$F$43,IF($CO38&lt;5,Premises!$A$46:$F$46,Premises!$A$49:$F$49)),MATCH($CC38,Premises!$A$10:$F$10,0))/($CO38*INDEX(Premises!$A$13:$F$13,MATCH($CC38,Premises!$A$10:$F$10,0)))+INDEX(IF($CO38&lt;0.2,Premises!$A$44:$F$44,IF($CO38&lt;5,Premises!$A$47:$F$47,Premises!$A$50:$F$50)),MATCH($CC38,Premises!$A$10:$F$10,0))+INDEX(IF($CO38&lt;0.2,Premises!$A$45:$F$45,IF($CO38&lt;5,Premises!$A$48:$F$48,Premises!$A$51:$F$51)),MATCH($CC38,Premises!$A$10:$F$10,0))/$CO38)),0.01)</f>
        <v>0</v>
      </c>
      <c r="CQ38" s="380" cm="1">
        <f t="array" ref="CQ38">IF(AND($CM38=0,$CO38=0),0,INDEX(BOM!$O:$O,$CG38))</f>
        <v>0</v>
      </c>
      <c r="CR38" s="381" cm="1">
        <f t="array" ref="CR38">IF(OR($CM38=0,$CN38=0),0,ACOS(COS(RADIANS(90-INDEX(Premises!$A$66:$F$66,1,$CH38)))*COS(RADIANS(90-INDEX(Premises!$A$66:$F$66,1,MATCH($CB38,Premises!$A$10:$F$10,0))))
+SIN(RADIANS(90-INDEX(Premises!$A$66:$F$66,1,$CH38)))*SIN(RADIANS(90-INDEX(Premises!$A$66:$F$66,1,MATCH($CB38,Premises!$A$10:$F$10,0)))) * COS(RADIANS(INDEX(Premises!$A$67:$F$67,1,$CH38)-INDEX(Premises!$A$67:$F$67,1,MATCH($CB38,Premises!$A$10:$F$10,0)))))*6371)</f>
        <v>0</v>
      </c>
      <c r="CS38" s="381" cm="1">
        <f t="array" ref="CS38">IF(OR($CO38=0,$CP38=0),0,
IF($CR38=0,ACOS(COS(RADIANS(90-INDEX(Premises!$A$66:$F$66,1,$CH38)))*COS(RADIANS(90-INDEX(Premises!$A$66:$F$66,1,MATCH($CC38,Premises!$A$10:$F$10,0))))
+SIN(RADIANS(90-INDEX(Premises!$A$66:$F$66,1,$CH38)))*SIN(RADIANS(90-INDEX(Premises!$A$66:$F$66,1,MATCH($CC38,Premises!$A$10:$F$10,0))))*COS(RADIANS(INDEX(Premises!$A$67:$F$67,1,$CH38)-INDEX(Premises!$A$67:$F$67,1,MATCH($CC38,Premises!$A$10:$F$10,0)))))*6371,
ACOS(COS(RADIANS(90-INDEX(Premises!$A$66:$F$66,1,MATCH($CB38,Premises!$A$10:$F$10,0))))*COS(RADIANS(90-INDEX(Premises!$A$66:$F$66,1,MATCH($CC38,Premises!$A$10:$F$10,0))))
+SIN(RADIANS(90-INDEX(Premises!$A$66:$F$66,1,MATCH($CB38,Premises!$A$10:$F$10,0))))*SIN(RADIANS(90-INDEX(Premises!$A$66:$F$66,1,MATCH($CC38,Premises!$A$10:$F$10,0))))*COS(RADIANS(INDEX(Premises!$A$67:$F$67,1,MATCH($CB38,Premises!$A$10:$F$10,0))-INDEX(Premises!$A$67:$F$67,1,MATCH($CC38,Premises!$A$10:$F$10,0)))))*6371))</f>
        <v>0</v>
      </c>
      <c r="CT38" s="947"/>
      <c r="CU38" s="2"/>
      <c r="CV38" s="382">
        <f>SUM(INDEX(CV:CV,ROW()+1):INDEX(CV:CV,$CE38))</f>
        <v>0.20529457098710319</v>
      </c>
      <c r="CW38" s="383">
        <f>SUM(INDEX(CW:CW,ROW()+1):INDEX(CW:CW,$CE38))</f>
        <v>1.8933540717302969E-2</v>
      </c>
      <c r="CX38" s="383">
        <f>SUM(INDEX(CX:CX,ROW()+1):INDEX(CX:CX,$CE38))</f>
        <v>0.17153645833333331</v>
      </c>
      <c r="CY38" s="383">
        <f>SUM(INDEX(CY:CY,ROW()+1):INDEX(CY:CY,$CE38))</f>
        <v>0</v>
      </c>
      <c r="CZ38" s="383">
        <f>SUM(INDEX(CZ:CZ,ROW()+1):INDEX(CZ:CZ,$CE38))</f>
        <v>0</v>
      </c>
      <c r="DA38" s="383">
        <f>SUM(INDEX(DA:DA,ROW()+1):INDEX(DA:DA,$CE38))</f>
        <v>3.7683102932043657E-3</v>
      </c>
      <c r="DB38" s="383">
        <f>SUM(INDEX(DB:DB,ROW()+1):INDEX(DB:DB,$CE38))</f>
        <v>5.1492300909327118E-2</v>
      </c>
      <c r="DC38" s="383">
        <f>SUM(INDEX(DC:DC,ROW()+1):INDEX(DC:DC,$CE38))</f>
        <v>0.45102518124027091</v>
      </c>
      <c r="DD38" s="383">
        <f>SUM(INDEX(DD:DD,ROW()+1):INDEX(DD:DD,$CE38))</f>
        <v>9.7486676096252687</v>
      </c>
      <c r="DE38" s="383">
        <f>SUM(INDEX(DE:DE,ROW()+1):INDEX(DE:DE,$CE38))</f>
        <v>9.7486676096252695E-2</v>
      </c>
      <c r="DF38" s="383">
        <f>SUM(INDEX(DF:DF,ROW()+1):INDEX(DF:DF,$CE38))</f>
        <v>3.5432398383430215E-2</v>
      </c>
      <c r="DG38" s="383">
        <f>SUM(INDEX(DG:DG,ROW()+1):INDEX(DG:DG,$CE38))</f>
        <v>9.8815866841049509</v>
      </c>
      <c r="DH38" s="383">
        <f>SUM(INDEX(DH:DH,ROW()+1):INDEX(DH:DH,$CE38))</f>
        <v>10.332611865345221</v>
      </c>
      <c r="DI38" s="383">
        <f>SUM(INDEX(DI:DI,ROW()+1):INDEX(DI:DI,$CE38))</f>
        <v>0</v>
      </c>
      <c r="DJ38" s="383">
        <f>SUM(INDEX(DJ:DJ,ROW()+1):INDEX(DJ:DJ,$CE38))</f>
        <v>0</v>
      </c>
      <c r="DK38" s="383">
        <f>SUM(INDEX(DK:DK,ROW()+1):INDEX(DK:DK,$CE38))</f>
        <v>1.0328843555052019</v>
      </c>
      <c r="DL38" s="383">
        <f>SUM(INDEX(DL:DL,ROW()+1):INDEX(DL:DL,$CE38))</f>
        <v>0</v>
      </c>
      <c r="DM38" s="383">
        <f>SUM(INDEX(DM:DM,ROW()+1):INDEX(DM:DM,$CE38))</f>
        <v>0</v>
      </c>
      <c r="DN38" s="383">
        <f>SUM(INDEX(DN:DN,ROW()+1):INDEX(DN:DN,$CE38))</f>
        <v>0.61175546883434007</v>
      </c>
      <c r="DO38" s="383">
        <f>SUM(INDEX(DO:DO,ROW()+1):INDEX(DO:DO,$CE38))</f>
        <v>0</v>
      </c>
      <c r="DP38" s="383">
        <f>SUM(INDEX(DP:DP,ROW()+1):INDEX(DP:DP,$CE38))</f>
        <v>11.977251689684765</v>
      </c>
      <c r="DQ38" s="383">
        <f>SUM(INDEX(DQ:DQ,ROW()+1):INDEX(DQ:DQ,$CE38))</f>
        <v>0</v>
      </c>
      <c r="DR38" s="383">
        <f>SUM(INDEX(DR:DR,ROW()+1):INDEX(DR:DR,$CE38))</f>
        <v>0</v>
      </c>
      <c r="DS38" s="383">
        <f>SUM(INDEX(DS:DS,ROW()+1):INDEX(DS:DS,$CE38))</f>
        <v>0</v>
      </c>
      <c r="DT38" s="383">
        <f>SUM(INDEX(DT:DT,ROW()+1):INDEX(DT:DT,$CE38))</f>
        <v>0</v>
      </c>
      <c r="DU38" s="383">
        <f>SUM(INDEX(DU:DU,ROW()+1):INDEX(DU:DU,$CE38))</f>
        <v>0</v>
      </c>
      <c r="DV38" s="383">
        <f>SUM(INDEX(DV:DV,ROW()+1):INDEX(DV:DV,$CE38))</f>
        <v>11.977251689684765</v>
      </c>
      <c r="DW38" s="383">
        <f>SUM(INDEX(DW:DW,ROW()+1):INDEX(DW:DW,$CE38))</f>
        <v>0</v>
      </c>
      <c r="DX38" s="383">
        <f>SUM(INDEX(DX:DX,ROW()+1):INDEX(DX:DX,$CE38))</f>
        <v>0</v>
      </c>
      <c r="DY38" s="383">
        <f>SUM(INDEX(DY:DY,ROW()+1):INDEX(DY:DY,$CE38))</f>
        <v>0</v>
      </c>
      <c r="DZ38" s="383">
        <f>SUM(INDEX(DZ:DZ,ROW()+1):INDEX(DZ:DZ,$CE38))</f>
        <v>0</v>
      </c>
      <c r="EA38" s="383">
        <f>SUM(INDEX(EA:EA,ROW()+1):INDEX(EA:EA,$CE38))</f>
        <v>0</v>
      </c>
      <c r="EB38" s="384">
        <f>SUM(INDEX(EB:EB,ROW()+1):INDEX(EB:EB,$CE38))</f>
        <v>11.977251689684765</v>
      </c>
      <c r="EC38" s="783"/>
      <c r="ED38" s="382"/>
      <c r="EE38" s="383"/>
      <c r="EF38" s="1090"/>
      <c r="EG38" s="1090"/>
      <c r="EH38" s="1090"/>
      <c r="EI38" s="1090"/>
      <c r="EJ38" s="1090"/>
      <c r="EK38" s="1090"/>
      <c r="EL38" s="1090"/>
      <c r="EM38" s="1090"/>
      <c r="EN38" s="1090"/>
      <c r="EO38" s="1090"/>
      <c r="EP38" s="1090"/>
      <c r="EQ38" s="1090"/>
      <c r="ER38" s="1090"/>
      <c r="ES38" s="1090"/>
      <c r="ET38" s="1090"/>
      <c r="EU38" s="1090"/>
      <c r="EV38" s="1090"/>
      <c r="EW38" s="1090"/>
      <c r="EX38" s="1091"/>
      <c r="EY38" s="2"/>
      <c r="EZ38" s="2"/>
      <c r="FA38" s="2"/>
      <c r="FB38" s="2"/>
      <c r="FC38" s="2"/>
      <c r="FD38" s="2"/>
      <c r="FE38" s="2"/>
      <c r="FF38" s="2"/>
      <c r="FG38" s="2"/>
      <c r="FH38" s="2"/>
      <c r="FI38" s="2"/>
      <c r="FJ38" s="382"/>
      <c r="FK38" s="383"/>
      <c r="FL38" s="384"/>
      <c r="FM38" s="947"/>
    </row>
    <row r="39" spans="1:169" s="13" customFormat="1" ht="12.75" customHeight="1">
      <c r="A39" s="215"/>
      <c r="B39" s="385" t="s">
        <v>34</v>
      </c>
      <c r="C39" s="386"/>
      <c r="D39" s="629"/>
      <c r="E39" s="387"/>
      <c r="F39" s="388"/>
      <c r="G39" s="388"/>
      <c r="H39" s="388"/>
      <c r="I39" s="620" cm="1">
        <f t="array" ref="I39">IF($CI39=0,0,IFERROR(INDEX(MHR[],$CI39,MATCH($CA39,MHR!$B$4:$AY$4,0)),0))</f>
        <v>0</v>
      </c>
      <c r="J39" s="617">
        <f t="shared" ref="J39:J46" si="95">IF(COUNTBLANK($E39:$H39),0,IFERROR($F39/$H39/IF($G39="s",3600,IF($G39="min",60,IF($G39="h",1,0)))*I39,0))</f>
        <v>0</v>
      </c>
      <c r="K39" s="389"/>
      <c r="L39" s="390"/>
      <c r="M39" s="849"/>
      <c r="N39" s="390"/>
      <c r="O39" s="388"/>
      <c r="P39" s="628" cm="1">
        <f t="array" ref="P39">IF($K39=0,0,IFERROR(ROUNDUP(IF(ISNUMBER($K39),$K39,INDEX($D$1:$D39,$CD39)*INDEX(Premises!$A$13:$F$13,1,$CH39)/IF(OR($K39="T",$K39="D"),250,IF($K39="W",50,IF($K39="M",12,IF(OR($K39="HJ",$K39="HY"),2,IF(OR($K39="J",$K39="Y"),1,0)))))),0),0))</f>
        <v>0</v>
      </c>
      <c r="Q39" s="620" cm="1">
        <f t="array" ref="Q39">IF($K39=0,0,IFERROR(INDEX(Premises!$A$22:$F$22,1,$CH39)*100/INDEX(Premises!$A$16:$F$16,1,$CH39),0))</f>
        <v>0</v>
      </c>
      <c r="R39" s="617">
        <f>IF($P39=0,0,IFERROR(($L39/60*($I39+$Q39*$M39)+($N39/60*($Q39*$O39)))/$P39,0))</f>
        <v>0</v>
      </c>
      <c r="S39" s="391"/>
      <c r="T39" s="392"/>
      <c r="U39" s="620" cm="1">
        <f t="array" ref="U39">IF(COUNTBLANK($S39:$T39),0,
IF(AND(INDEX(MHR[Schichtmodell],$CI39)&lt;&gt;0,INDEX(MHR[Schichtmodell],$CI39)&lt;&gt;INDEX(Premises!$A$20:$F$20,1,$CH39)),ExchangeRate*
IF(OR($T39="M",$T39="U"),IF(INDEX(MHR[Schichtmodell],$CI39)=1,INDEX(LOC[M1S],INDEX(Premises!$A$18:$F$18,1,$CH39+1)),IF(INDEX(MHR[Schichtmodell],$CI39)=2,INDEX(LOC[M2S],INDEX(Premises!$A$18:$F$18,1,$CH39+1),IF(INDEX(MHR[Schichtmodell],$CI39)=3,INDEX(LOC[M3S],INDEX(Premises!$A$18:$F$18,1,$CH39+1)),0)))),
IF(INDEX(MHR[Schichtmodell],$CI39)=1,INDEX(LOC[F1S],INDEX(Premises!$A$18:$F$18,1,$CH39+1)),IF(INDEX(MHR[Schichtmodell],$CI39)=2,INDEX(LOC[F2S],INDEX(Premises!$A$18:$F$18,1,$CH39+1)),IF(INDEX(MHR[Schichtmodell],$CI39)=3,INDEX(LOC[F3S],INDEX(Premises!$A$18:$F$18,1,$CH39+1)),0)))),
IF(OR($T39="M",$T39="U"),INDEX(Premises!$A$21:$F$21,1,$CH39),
IF(OR($T39="F",$T39="S"),INDEX(Premises!$A$22:$F$22,1,$CH39),0)))*100/INDEX(Premises!$A$16:$F$16,1,$CH39))</f>
        <v>0</v>
      </c>
      <c r="V39" s="614">
        <f t="shared" ref="V39:V46" si="96">IF($U39=0,0,IFERROR($F39/$H39/IF($G39="s",3600,IF($G39="min",60,IF($G39="h",1,0)))*$S39*$U39,0))</f>
        <v>0</v>
      </c>
      <c r="W39" s="393"/>
      <c r="X39" s="386"/>
      <c r="Y39" s="394"/>
      <c r="Z39" s="395"/>
      <c r="AA39" s="611">
        <f t="shared" ref="AA39:AA46" si="97">IFERROR($X39*$Z39/$Y39/MAX(1,$H39),0)</f>
        <v>0</v>
      </c>
      <c r="AB39" s="393"/>
      <c r="AC39" s="386"/>
      <c r="AD39" s="394"/>
      <c r="AE39" s="396"/>
      <c r="AF39" s="611">
        <f t="shared" ref="AF39:AF46" si="98">IFERROR($AC39*$AE39/$AD39,0)</f>
        <v>0</v>
      </c>
      <c r="AG39" s="612" cm="1">
        <f t="array" ref="AG39">IF(($J39+$V39+$AF39)=0,0,INDEX(Premises!$A$30:$F$30,1,$CH39)/100)</f>
        <v>0</v>
      </c>
      <c r="AH39" s="397"/>
      <c r="AI39" s="398"/>
      <c r="AJ39" s="399"/>
      <c r="AK39" s="613">
        <f t="shared" ref="AK39:AK46" si="99">IF(COUNTBLANK($AH39:$AI39),0,$AH39*$AI39*$AG39)</f>
        <v>0</v>
      </c>
      <c r="AL39" s="614">
        <f t="shared" ref="AL39:AL46" si="100">($AK39+$AJ39*$AG39*(1-$AH39)+($J39+$V39+$AF39)*$AG39*(1-$AH39))</f>
        <v>0</v>
      </c>
      <c r="AM39" s="615" cm="1">
        <f t="array" ref="AM39">IF($CI39=0,0,IFERROR(INDEX(MHR[],$CI39,MATCH($CA39,MHR!$B$4:$AY$4,0)+11),0))</f>
        <v>0</v>
      </c>
      <c r="AN39" s="616" cm="1">
        <f t="array" ref="AN39">IF(($J39+$V39)=0,0,IFERROR(IF(INDEX(Premises!$A$41:$F$41,1,$CH39)&lt;&gt;0,INDEX(Premises!$A$41:$F$41,1,$CH39)/100,(IFERROR(($J39/$I39)*$AM39,0)/($V39+$J39+$R39+$AL39))),0))</f>
        <v>0</v>
      </c>
      <c r="AO39" s="617">
        <f t="shared" ref="AO39:AO46" si="101">IF(($J39+$V39)=0,0,IF(IFERROR(($J39+$R39+$V39+$AL39)*$AN39,0)&lt;&gt;IFERROR(($J39/$I39)*$AM39,0),($J39+$R39+$V39+$AL39)*$AN39,IFERROR(($J39/$I39)*$AM39,0)))</f>
        <v>0</v>
      </c>
      <c r="AP39" s="618">
        <f t="shared" ref="AP39:AP46" si="102">$V39+$J39+$R39+$AA39+$AF39+$AL39+$AO39</f>
        <v>0</v>
      </c>
      <c r="AQ39" s="393" t="s">
        <v>4034</v>
      </c>
      <c r="AR39" s="392">
        <f>VLOOKUP(B38,BOM!$1:$1048576,6,0)</f>
        <v>1</v>
      </c>
      <c r="AS39" s="619" t="str" cm="1">
        <f t="array" ref="AS39">IF($CJ39=0,0,IFERROR(INDEX(MAT[Einheit],$CJ39,1),0))</f>
        <v>pcs.</v>
      </c>
      <c r="AT39" s="620" cm="1">
        <f t="array" ref="AT39">IF($CJ39=0,0,IFERROR(INDEX(MAT[Preis],$CJ39,1),0))</f>
        <v>9.7486676096252687</v>
      </c>
      <c r="AU39" s="621">
        <f t="shared" ref="AU39:AU46" si="103">$AR39*$AT39</f>
        <v>9.7486676096252687</v>
      </c>
      <c r="AV39" s="622" cm="1">
        <f t="array" ref="AV39">IF($AU39&lt;=0,0,INDEX(Premises!$A$30:$F$30,1,$CH39)/100)</f>
        <v>0.01</v>
      </c>
      <c r="AW39" s="392"/>
      <c r="AX39" s="614">
        <f t="shared" ref="AX39:AX46" si="104">IF($AV39=0,0,($AU39+$AW39)*$AV39)</f>
        <v>9.7486676096252695E-2</v>
      </c>
      <c r="AY39" s="623" cm="1">
        <f t="array" ref="AY39">IF($AT39&lt;=0,0,IFERROR(IF(INDEX(Premises!$A$42:$F$42,1,$CH39)&lt;&gt;0,INDEX(Premises!$A$42:$F$42,1,$CH39)/100,(INDEX(MAT[],$CJ39,MATCH($CA39,MAT!$B$4:$AE$4,0))/($AR39*$CK39*INDEX(Premises!$A$13:$F$13,1,$CH39))+INDEX(MAT[],$CJ39,MATCH($CA39,MAT!$B$4:$AE$4,0)+7))/$AT39),0))</f>
        <v>3.5986028001625757E-3</v>
      </c>
      <c r="AZ39" s="614">
        <f t="shared" ref="AZ39:AZ46" si="105">IF($AY39=0,0,($AU39+$AX39)*$AY39)</f>
        <v>3.5432398383430215E-2</v>
      </c>
      <c r="BA39" s="618">
        <f t="shared" ref="BA39:BA46" si="106">$AU39+$AX39+$AZ39</f>
        <v>9.8815866841049509</v>
      </c>
      <c r="BB39" s="618">
        <f t="shared" ref="BB39:BB46" si="107">$AP39+$BA39</f>
        <v>9.8815866841049509</v>
      </c>
      <c r="BC39" s="622" cm="1">
        <f t="array" ref="BC39">IF($BB39&lt;=0,0,IF(BC$2=-1,0,INDEX(Premises!$A$32:$F$32,1,$CH39)/100))</f>
        <v>0</v>
      </c>
      <c r="BD39" s="614">
        <f t="shared" ref="BD39:BD46" si="108">IF($AP39&lt;=0,0,($AP39-$AA39-$AL39)*$BC39)</f>
        <v>0</v>
      </c>
      <c r="BE39" s="622" cm="1">
        <f t="array" ref="BE39">IF($BB39&lt;=0,0,IF(BE$2=-1,0,INDEX(Premises!$A$33:$F$33,1,$CH39)/100))</f>
        <v>0</v>
      </c>
      <c r="BF39" s="614">
        <f t="shared" ref="BF39:BF46" si="109">IF($BA39&lt;=0,0,$BA39*$BE39)</f>
        <v>0</v>
      </c>
      <c r="BG39" s="622" cm="1">
        <f t="array" ref="BG39">IF($BB39&lt;=0,0,IF(BG$2=-1,0,INDEX(Premises!$A$31:$F$31,1,$CH39)/100))</f>
        <v>0.1</v>
      </c>
      <c r="BH39" s="614">
        <f t="shared" ref="BH39:BH46" si="110">(($AP39-$AA39-$AL39)+$BA39)*$BG39</f>
        <v>0.98815866841049516</v>
      </c>
      <c r="BI39" s="618">
        <f t="shared" ref="BI39:BI46" si="111">$BB39+$BD39+$BF39+$BH39</f>
        <v>10.869745352515446</v>
      </c>
      <c r="BJ39" s="622" cm="1">
        <f t="array" ref="BJ39">IF($BB39&lt;=0,0,IF(BJ$2=-1,0,INDEX(Premises!$A$35:$F$35,1,$CH39)/100))</f>
        <v>0</v>
      </c>
      <c r="BK39" s="614">
        <f t="shared" ref="BK39:BK46" si="112">IF($AP39&lt;=0,0,($AP39-$AL39-$AA39)*$BJ39)</f>
        <v>0</v>
      </c>
      <c r="BL39" s="622" cm="1">
        <f t="array" ref="BL39">IF($BB39&lt;=0,0,IF(BL$2=-1,0,INDEX(Premises!$A$36:$F$36,1,$CH39)/100))</f>
        <v>0</v>
      </c>
      <c r="BM39" s="614">
        <f t="shared" ref="BM39:BM46" si="113">IF($AU39&lt;=0,0,($AR39*$AT39)*$BL39)</f>
        <v>0</v>
      </c>
      <c r="BN39" s="622" cm="1">
        <f t="array" ref="BN39">IF($BB39&lt;=0,0,IF(BN$2=-1,0,INDEX(Premises!$A$34:$F$34,1,$CH39)/100))</f>
        <v>0.06</v>
      </c>
      <c r="BO39" s="614">
        <f t="shared" ref="BO39:BO46" si="114">(($AP39-$AL39-$AA39)+($AR39*$AT39))*$BN39</f>
        <v>0.58492005657751611</v>
      </c>
      <c r="BP39" s="622" cm="1">
        <f t="array" ref="BP39">IF($BI39=0,0,INDEX(Premises!$A$37:$F$37,1,$CH39)/100)</f>
        <v>0</v>
      </c>
      <c r="BQ39" s="392"/>
      <c r="BR39" s="614">
        <f t="shared" ref="BR39:BR46" si="115">($BI39+$BK39+$BM39+$BO39)*$BP39+$BQ39</f>
        <v>0</v>
      </c>
      <c r="BS39" s="624">
        <f t="shared" ref="BS39:BS46" si="116">BI39+BK39+BM39+BO39+BR39</f>
        <v>11.454665409092962</v>
      </c>
      <c r="BT39" s="624">
        <f t="shared" ref="BT39:BT46" si="117">IF($BS39=0,0,$CK39*$BS39)</f>
        <v>11.454665409092962</v>
      </c>
      <c r="BU39" s="625">
        <f t="shared" ref="BU39:BU46" si="118">IF($BT39=0,0,MAX(1,$EB39/$DP39))</f>
        <v>1</v>
      </c>
      <c r="BV39" s="400"/>
      <c r="BW39" s="401"/>
      <c r="BX39" s="401"/>
      <c r="BY39" s="402"/>
      <c r="BZ39" s="946"/>
      <c r="CA39" s="263" cm="1">
        <f t="array" ref="CA39">IF($BZ39&gt;0,VALUE(LEFT($BZ39,IF(ISERROR(FIND("-",$BZ39)),LEN($BZ39),FIND("-",$BZ39)-1))),INDEX($CA$1:$CA39,MAX(1,$CD39)))</f>
        <v>1</v>
      </c>
      <c r="CB39" s="263" cm="1">
        <f t="array" ref="CB39">IF($BT39=0,0,IF(LEN($BZ39)-LEN(SUBSTITUTE($BZ39,"-",""))&gt;1,
VALUE(MID($BZ39,FIND("-",$BZ39)+1,FIND("-",$BZ39,FIND("-",$BZ39)+1)-FIND("-",$BZ39)-1)),IF($BZ39&gt;0,0,INDEX($CB$1:$CB39,MAX(1,$CD39)))))</f>
        <v>0</v>
      </c>
      <c r="CC39" s="263" cm="1">
        <f t="array" ref="CC39">IF($BT39=0,0,IF(NOT(ISERROR(FIND("-",BZ39))),
VALUE(RIGHT($BZ39,LEN($BZ39)-IF(LEN($BZ39)-LEN(SUBSTITUTE($BZ39,"-",""))=1,FIND("-",$BZ39),FIND("-",$BZ39,FIND("-",$BZ39)+1)))),
IF($BZ39&gt;0,0,INDEX($CC$1:$CC39,MAX(1,$CD39)))))</f>
        <v>0</v>
      </c>
      <c r="CD39" s="376">
        <f>MATCH(0,$CE$1:$CE39,-1)</f>
        <v>38</v>
      </c>
      <c r="CE39" s="263"/>
      <c r="CF39" s="377"/>
      <c r="CG39" s="376" cm="1">
        <f t="array" ref="CG39">INDEX($CG$1:$CG39,$CD39)</f>
        <v>6</v>
      </c>
      <c r="CH39" s="263">
        <f>MATCH($CA39,Premises!$A$10:$F$10,0)</f>
        <v>4</v>
      </c>
      <c r="CI39" s="263">
        <f>IF(ISBLANK($E39),0,IFERROR(MATCH($E39,MHR[Bezeichnung],0),0))</f>
        <v>0</v>
      </c>
      <c r="CJ39" s="377">
        <f>IF(ISBLANK($AQ39),0,IFERROR(MATCH($AQ39,MAT[Bezeichnung],0),0))</f>
        <v>2</v>
      </c>
      <c r="CK39" s="263" cm="1">
        <f t="array" ref="CK39">INDEX($D$1:$D39,$CD39)</f>
        <v>1</v>
      </c>
      <c r="CL39" s="263"/>
      <c r="CM39" s="378"/>
      <c r="CN39" s="379" cm="1">
        <f t="array" ref="CN39">IF($CB39=0,0,IF($CB39=INDEX($CB$1:$CB39,$CD39),INDEX($CN$1:$CN39,$CD39),$CP39))</f>
        <v>0</v>
      </c>
      <c r="CO39" s="378"/>
      <c r="CP39" s="379" cm="1">
        <f t="array" ref="CP39">IF($CC39=0,0,INDEX($CP$1:$CP39,$CD39))</f>
        <v>0</v>
      </c>
      <c r="CQ39" s="380"/>
      <c r="CR39" s="381"/>
      <c r="CS39" s="381"/>
      <c r="CT39" s="948"/>
      <c r="CU39" s="2"/>
      <c r="CV39" s="630">
        <f t="shared" ref="CV39:CV46" si="119">$J39*$CK39</f>
        <v>0</v>
      </c>
      <c r="CW39" s="631">
        <f t="shared" ref="CW39:CW46" si="120">$R39*$CK39</f>
        <v>0</v>
      </c>
      <c r="CX39" s="631">
        <f t="shared" ref="CX39:CX46" si="121">$V39*$CK39</f>
        <v>0</v>
      </c>
      <c r="CY39" s="631">
        <f t="shared" ref="CY39:CY46" si="122">$AA39*$CK39</f>
        <v>0</v>
      </c>
      <c r="CZ39" s="631">
        <f t="shared" ref="CZ39:CZ46" si="123">$AF39*$CK39</f>
        <v>0</v>
      </c>
      <c r="DA39" s="631">
        <f t="shared" ref="DA39:DA46" si="124">$AL39*$CK39</f>
        <v>0</v>
      </c>
      <c r="DB39" s="631">
        <f t="shared" ref="DB39:DB46" si="125">$AO39*$CK39</f>
        <v>0</v>
      </c>
      <c r="DC39" s="632">
        <f t="shared" ref="DC39:DC46" si="126">$AP39*$CK39</f>
        <v>0</v>
      </c>
      <c r="DD39" s="631">
        <f t="shared" ref="DD39:DD46" si="127">$AU39*$CK39</f>
        <v>9.7486676096252687</v>
      </c>
      <c r="DE39" s="631">
        <f t="shared" ref="DE39:DE46" si="128">$AX39*$CK39</f>
        <v>9.7486676096252695E-2</v>
      </c>
      <c r="DF39" s="631">
        <f t="shared" ref="DF39:DF46" si="129">$AZ39*$CK39</f>
        <v>3.5432398383430215E-2</v>
      </c>
      <c r="DG39" s="632">
        <f t="shared" ref="DG39:DG46" si="130">$BA39*$CK39</f>
        <v>9.8815866841049509</v>
      </c>
      <c r="DH39" s="632">
        <f t="shared" ref="DH39:DH46" si="131">$BB39*$CK39</f>
        <v>9.8815866841049509</v>
      </c>
      <c r="DI39" s="631">
        <f t="shared" ref="DI39:DI46" si="132">$BD39*$CK39</f>
        <v>0</v>
      </c>
      <c r="DJ39" s="631">
        <f t="shared" ref="DJ39:DJ46" si="133">$BF39*$CK39</f>
        <v>0</v>
      </c>
      <c r="DK39" s="631">
        <f t="shared" ref="DK39:DK46" si="134">$BH39*$CK39</f>
        <v>0.98815866841049516</v>
      </c>
      <c r="DL39" s="631">
        <f t="shared" ref="DL39:DL46" si="135">$BK39*$CK39</f>
        <v>0</v>
      </c>
      <c r="DM39" s="631">
        <f t="shared" ref="DM39:DM46" si="136">$BM39*$CK39</f>
        <v>0</v>
      </c>
      <c r="DN39" s="631">
        <f t="shared" ref="DN39:DN46" si="137">$BO39*$CK39</f>
        <v>0.58492005657751611</v>
      </c>
      <c r="DO39" s="631">
        <f t="shared" ref="DO39:DO46" si="138">$BR39*$CK39</f>
        <v>0</v>
      </c>
      <c r="DP39" s="634">
        <f t="shared" ref="DP39:DP46" si="139">$CK39*($BB39+$BD39+$BF39+$BH39+$BK39+$BM39+$BO39+$BR39)</f>
        <v>11.454665409092962</v>
      </c>
      <c r="DQ39" s="929">
        <f>IF($CB39=0,0,$DP39*_xlfn.XLOOKUP($CB39,Premises!$A$10:$F$10,Premises!$A$30:$F$30)/100)</f>
        <v>0</v>
      </c>
      <c r="DR39" s="633">
        <f>IFERROR(SUM($DP39:$DQ39)*IF(INDEX(Premises!$A$42:$F$42,1,MATCH($CB39,Premises!$A$10:$F$10,0))&gt;0,INDEX(Premises!$A$42:$F$42,1,MATCH($CB39,Premises!$A$10:$F$10,0))%,$CN39),0)</f>
        <v>0</v>
      </c>
      <c r="DS39" s="633" cm="1">
        <f t="array" ref="DS39">IF($CB39=0,0,SUM($DP39:$DR39)*_xlfn.XLOOKUP($CB39,Premises!$A$10:$F$10,IF(INDEX(Settings[],MATCH(3001,Settings[ID],0),2)="B",Premises!$A$33:$F$33,Premises!$A$31:$F$31))/100)</f>
        <v>0</v>
      </c>
      <c r="DT39" s="633" cm="1">
        <f t="array" ref="DT39">IF($CB39=0,0,$DP39*_xlfn.XLOOKUP($CB39,Premises!$A$10:$F$10,IF(INDEX(Settings[],MATCH(3002,Settings[ID],0),2)="B",Premises!$A$36:$F$36,Premises!$A$34:$F$34))/100)</f>
        <v>0</v>
      </c>
      <c r="DU39" s="633">
        <f>IF($CB39=0,0,SUM($DP39:$DT39)*_xlfn.XLOOKUP($CB39,Premises!$A$10:$F$10,Premises!$A$37:$F$37)/100)</f>
        <v>0</v>
      </c>
      <c r="DV39" s="932">
        <f t="shared" ref="DV39:DV46" si="140">SUM($DP39:$DU39)</f>
        <v>11.454665409092962</v>
      </c>
      <c r="DW39" s="929">
        <f>IF($CC39=0,0,$DV39*_xlfn.XLOOKUP($CC39,Premises!$A$10:$F$10,Premises!$A$30:$F$30)/100)</f>
        <v>0</v>
      </c>
      <c r="DX39" s="633">
        <f>IFERROR(SUM($DV39:$DW39)*IF(INDEX(Premises!$A$42:$F$42,1,MATCH($CC39,Premises!$A$10:$F$10,0))&gt;0,INDEX(Premises!$A$42:$F$42,1,MATCH($CC39,Premises!$A$10:$F$10,0))%,$CP39),0)</f>
        <v>0</v>
      </c>
      <c r="DY39" s="633" cm="1">
        <f t="array" ref="DY39">IF($CC39=0,0,SUM($DV39:$DX39)*_xlfn.XLOOKUP($CC39,Premises!$A$10:$F$10,IF(INDEX(Settings[],MATCH(3001,Settings[ID],0),2)="B",Premises!$A$33:$F$33,Premises!$A$31:$F$31))/100)</f>
        <v>0</v>
      </c>
      <c r="DZ39" s="633" cm="1">
        <f t="array" ref="DZ39">IF($CC39=0,0,$DV39*_xlfn.XLOOKUP($CC39,Premises!$A$10:$F$10,IF(INDEX(Settings[],MATCH(3002,Settings[ID],0),2)="B",Premises!$A$36:$F$36,Premises!$A$34:$F$34))/100)</f>
        <v>0</v>
      </c>
      <c r="EA39" s="633">
        <f>IF($CC39=0,0,SUM($DV39:$DZ39)*_xlfn.XLOOKUP($CC39,Premises!$A$10:$F$10,Premises!$A$37:$F$37)/100)</f>
        <v>0</v>
      </c>
      <c r="EB39" s="634">
        <f t="shared" ref="EB39:EB46" si="141">SUM($DV39:$EA39)</f>
        <v>11.454665409092962</v>
      </c>
      <c r="EC39" s="783"/>
      <c r="ED39" s="1082"/>
      <c r="EE39" s="633"/>
      <c r="EF39" s="1088"/>
      <c r="EG39" s="1086"/>
      <c r="EH39" s="1086"/>
      <c r="EI39" s="1086"/>
      <c r="EJ39" s="1086"/>
      <c r="EK39" s="1086"/>
      <c r="EL39" s="1086"/>
      <c r="EM39" s="1088"/>
      <c r="EN39" s="1086"/>
      <c r="EO39" s="1086"/>
      <c r="EP39" s="1086"/>
      <c r="EQ39" s="1086"/>
      <c r="ER39" s="1088"/>
      <c r="ES39" s="1086"/>
      <c r="ET39" s="1086"/>
      <c r="EU39" s="1086"/>
      <c r="EV39" s="1086"/>
      <c r="EW39" s="1086"/>
      <c r="EX39" s="1089"/>
      <c r="EY39" s="2"/>
      <c r="EZ39" s="2"/>
      <c r="FA39" s="2"/>
      <c r="FB39" s="2"/>
      <c r="FC39" s="2"/>
      <c r="FD39" s="2"/>
      <c r="FE39" s="2"/>
      <c r="FF39" s="2"/>
      <c r="FG39" s="2"/>
      <c r="FH39" s="2"/>
      <c r="FI39" s="2"/>
      <c r="FJ39" s="403"/>
      <c r="FK39" s="404"/>
      <c r="FL39" s="405"/>
      <c r="FM39" s="948"/>
    </row>
    <row r="40" spans="1:169" s="13" customFormat="1" ht="12.75" customHeight="1">
      <c r="A40" s="215"/>
      <c r="B40" s="385"/>
      <c r="C40" s="386"/>
      <c r="D40" s="629"/>
      <c r="E40" s="387"/>
      <c r="F40" s="388"/>
      <c r="G40" s="388"/>
      <c r="H40" s="388"/>
      <c r="I40" s="620" cm="1">
        <f t="array" ref="I40">IF($CI40=0,0,IFERROR(INDEX(MHR[],$CI40,MATCH($CA40,MHR!$B$4:$AY$4,0)),0))</f>
        <v>0</v>
      </c>
      <c r="J40" s="617">
        <f t="shared" si="95"/>
        <v>0</v>
      </c>
      <c r="K40" s="389"/>
      <c r="L40" s="390"/>
      <c r="M40" s="849"/>
      <c r="N40" s="390"/>
      <c r="O40" s="388"/>
      <c r="P40" s="628" cm="1">
        <f t="array" ref="P40">IF($K40=0,0,IFERROR(ROUNDUP(IF(ISNUMBER($K40),$K40,INDEX($D$1:$D40,$CD40)*INDEX(Premises!$A$13:$F$13,1,$CH40)/IF(OR($K40="T",$K40="D"),250,IF($K40="W",50,IF($K40="M",12,IF(OR($K40="HJ",$K40="HY"),2,IF(OR($K40="J",$K40="Y"),1,0)))))),0),0))</f>
        <v>0</v>
      </c>
      <c r="Q40" s="620" cm="1">
        <f t="array" ref="Q40">IF($K40=0,0,IFERROR(INDEX(Premises!$A$22:$F$22,1,$CH40)*100/INDEX(Premises!$A$16:$F$16,1,$CH40),0))</f>
        <v>0</v>
      </c>
      <c r="R40" s="617">
        <f>IF($P40=0,0,IFERROR(($L40/60*($I40+$Q40*$M40)+($N40/60*($Q40*$O40)))/$P40,0))</f>
        <v>0</v>
      </c>
      <c r="S40" s="391"/>
      <c r="T40" s="392"/>
      <c r="U40" s="620" cm="1">
        <f t="array" ref="U40">IF(COUNTBLANK($S40:$T40),0,
IF(AND(INDEX(MHR[Schichtmodell],$CI40)&lt;&gt;0,INDEX(MHR[Schichtmodell],$CI40)&lt;&gt;INDEX(Premises!$A$20:$F$20,1,$CH40)),ExchangeRate*
IF(OR($T40="M",$T40="U"),IF(INDEX(MHR[Schichtmodell],$CI40)=1,INDEX(LOC[M1S],INDEX(Premises!$A$18:$F$18,1,$CH40+1)),IF(INDEX(MHR[Schichtmodell],$CI40)=2,INDEX(LOC[M2S],INDEX(Premises!$A$18:$F$18,1,$CH40+1),IF(INDEX(MHR[Schichtmodell],$CI40)=3,INDEX(LOC[M3S],INDEX(Premises!$A$18:$F$18,1,$CH40+1)),0)))),
IF(INDEX(MHR[Schichtmodell],$CI40)=1,INDEX(LOC[F1S],INDEX(Premises!$A$18:$F$18,1,$CH40+1)),IF(INDEX(MHR[Schichtmodell],$CI40)=2,INDEX(LOC[F2S],INDEX(Premises!$A$18:$F$18,1,$CH40+1)),IF(INDEX(MHR[Schichtmodell],$CI40)=3,INDEX(LOC[F3S],INDEX(Premises!$A$18:$F$18,1,$CH40+1)),0)))),
IF(OR($T40="M",$T40="U"),INDEX(Premises!$A$21:$F$21,1,$CH40),
IF(OR($T40="F",$T40="S"),INDEX(Premises!$A$22:$F$22,1,$CH40),0)))*100/INDEX(Premises!$A$16:$F$16,1,$CH40))</f>
        <v>0</v>
      </c>
      <c r="V40" s="614">
        <f t="shared" si="96"/>
        <v>0</v>
      </c>
      <c r="W40" s="393"/>
      <c r="X40" s="386"/>
      <c r="Y40" s="394"/>
      <c r="Z40" s="395"/>
      <c r="AA40" s="611">
        <f t="shared" si="97"/>
        <v>0</v>
      </c>
      <c r="AB40" s="393"/>
      <c r="AC40" s="386"/>
      <c r="AD40" s="394"/>
      <c r="AE40" s="396"/>
      <c r="AF40" s="611">
        <f t="shared" si="98"/>
        <v>0</v>
      </c>
      <c r="AG40" s="612" cm="1">
        <f t="array" ref="AG40">IF(($J40+$V40+$AF40)=0,0,INDEX(Premises!$A$30:$F$30,1,$CH40)/100)</f>
        <v>0</v>
      </c>
      <c r="AH40" s="397"/>
      <c r="AI40" s="398"/>
      <c r="AJ40" s="399"/>
      <c r="AK40" s="613">
        <f t="shared" si="99"/>
        <v>0</v>
      </c>
      <c r="AL40" s="614">
        <f t="shared" si="100"/>
        <v>0</v>
      </c>
      <c r="AM40" s="615" cm="1">
        <f t="array" ref="AM40">IF($CI40=0,0,IFERROR(INDEX(MHR[],$CI40,MATCH($CA40,MHR!$B$4:$AY$4,0)+11),0))</f>
        <v>0</v>
      </c>
      <c r="AN40" s="616" cm="1">
        <f t="array" ref="AN40">IF(($J40+$V40)=0,0,IFERROR(IF(INDEX(Premises!$A$41:$F$41,1,$CH40)&lt;&gt;0,INDEX(Premises!$A$41:$F$41,1,$CH40)/100,(IFERROR(($J40/$I40)*$AM40,0)/($V40+$J40+$R40+$AL40))),0))</f>
        <v>0</v>
      </c>
      <c r="AO40" s="617">
        <f t="shared" si="101"/>
        <v>0</v>
      </c>
      <c r="AP40" s="618">
        <f t="shared" si="102"/>
        <v>0</v>
      </c>
      <c r="AQ40" s="393"/>
      <c r="AR40" s="392"/>
      <c r="AS40" s="619" cm="1">
        <f t="array" ref="AS40">IF($CJ40=0,0,IFERROR(INDEX(MAT[Einheit],$CJ40,1),0))</f>
        <v>0</v>
      </c>
      <c r="AT40" s="620" cm="1">
        <f t="array" ref="AT40">IF($CJ40=0,0,IFERROR(INDEX(MAT[Preis],$CJ40,1),0))</f>
        <v>0</v>
      </c>
      <c r="AU40" s="621">
        <f t="shared" si="103"/>
        <v>0</v>
      </c>
      <c r="AV40" s="622" cm="1">
        <f t="array" ref="AV40">IF($AU40&lt;=0,0,INDEX(Premises!$A$30:$F$30,1,$CH40)/100)</f>
        <v>0</v>
      </c>
      <c r="AW40" s="392"/>
      <c r="AX40" s="614">
        <f t="shared" si="104"/>
        <v>0</v>
      </c>
      <c r="AY40" s="623" cm="1">
        <f t="array" ref="AY40">IF($AT40&lt;=0,0,IFERROR(IF(INDEX(Premises!$A$42:$F$42,1,$CH40)&lt;&gt;0,INDEX(Premises!$A$42:$F$42,1,$CH40)/100,(INDEX(MAT[],$CJ40,MATCH($CA40,MAT!$B$4:$AE$4,0))/($AR40*$CK40*INDEX(Premises!$A$13:$F$13,1,$CH40))+INDEX(MAT[],$CJ40,MATCH($CA40,MAT!$B$4:$AE$4,0)+7))/$AT40),0))</f>
        <v>0</v>
      </c>
      <c r="AZ40" s="614">
        <f t="shared" si="105"/>
        <v>0</v>
      </c>
      <c r="BA40" s="618">
        <f t="shared" si="106"/>
        <v>0</v>
      </c>
      <c r="BB40" s="618">
        <f t="shared" si="107"/>
        <v>0</v>
      </c>
      <c r="BC40" s="622" cm="1">
        <f t="array" ref="BC40">IF($BB40&lt;=0,0,IF(BC$2=-1,0,INDEX(Premises!$A$32:$F$32,1,$CH40)/100))</f>
        <v>0</v>
      </c>
      <c r="BD40" s="614">
        <f t="shared" si="108"/>
        <v>0</v>
      </c>
      <c r="BE40" s="622" cm="1">
        <f t="array" ref="BE40">IF($BB40&lt;=0,0,IF(BE$2=-1,0,INDEX(Premises!$A$33:$F$33,1,$CH40)/100))</f>
        <v>0</v>
      </c>
      <c r="BF40" s="614">
        <f t="shared" si="109"/>
        <v>0</v>
      </c>
      <c r="BG40" s="622" cm="1">
        <f t="array" ref="BG40">IF($BB40&lt;=0,0,IF(BG$2=-1,0,INDEX(Premises!$A$31:$F$31,1,$CH40)/100))</f>
        <v>0</v>
      </c>
      <c r="BH40" s="614">
        <f t="shared" si="110"/>
        <v>0</v>
      </c>
      <c r="BI40" s="618">
        <f t="shared" si="111"/>
        <v>0</v>
      </c>
      <c r="BJ40" s="622" cm="1">
        <f t="array" ref="BJ40">IF($BB40&lt;=0,0,IF(BJ$2=-1,0,INDEX(Premises!$A$35:$F$35,1,$CH40)/100))</f>
        <v>0</v>
      </c>
      <c r="BK40" s="614">
        <f t="shared" si="112"/>
        <v>0</v>
      </c>
      <c r="BL40" s="622" cm="1">
        <f t="array" ref="BL40">IF($BB40&lt;=0,0,IF(BL$2=-1,0,INDEX(Premises!$A$36:$F$36,1,$CH40)/100))</f>
        <v>0</v>
      </c>
      <c r="BM40" s="614">
        <f t="shared" si="113"/>
        <v>0</v>
      </c>
      <c r="BN40" s="622" cm="1">
        <f t="array" ref="BN40">IF($BB40&lt;=0,0,IF(BN$2=-1,0,INDEX(Premises!$A$34:$F$34,1,$CH40)/100))</f>
        <v>0</v>
      </c>
      <c r="BO40" s="614">
        <f t="shared" si="114"/>
        <v>0</v>
      </c>
      <c r="BP40" s="622" cm="1">
        <f t="array" ref="BP40">IF($BI40=0,0,INDEX(Premises!$A$37:$F$37,1,$CH40)/100)</f>
        <v>0</v>
      </c>
      <c r="BQ40" s="392"/>
      <c r="BR40" s="614">
        <f t="shared" si="115"/>
        <v>0</v>
      </c>
      <c r="BS40" s="624">
        <f t="shared" si="116"/>
        <v>0</v>
      </c>
      <c r="BT40" s="624">
        <f t="shared" si="117"/>
        <v>0</v>
      </c>
      <c r="BU40" s="625">
        <f t="shared" si="118"/>
        <v>0</v>
      </c>
      <c r="BV40" s="400"/>
      <c r="BW40" s="401"/>
      <c r="BX40" s="401"/>
      <c r="BY40" s="402"/>
      <c r="BZ40" s="946"/>
      <c r="CA40" s="263" cm="1">
        <f t="array" ref="CA40">IF($BZ40&gt;0,VALUE(LEFT($BZ40,IF(ISERROR(FIND("-",$BZ40)),LEN($BZ40),FIND("-",$BZ40)-1))),INDEX($CA$1:$CA40,MAX(1,$CD40)))</f>
        <v>1</v>
      </c>
      <c r="CB40" s="263" cm="1">
        <f t="array" ref="CB40">IF($BT40=0,0,IF(LEN($BZ40)-LEN(SUBSTITUTE($BZ40,"-",""))&gt;1,
VALUE(MID($BZ40,FIND("-",$BZ40)+1,FIND("-",$BZ40,FIND("-",$BZ40)+1)-FIND("-",$BZ40)-1)),IF($BZ40&gt;0,0,INDEX($CB$1:$CB40,MAX(1,$CD40)))))</f>
        <v>0</v>
      </c>
      <c r="CC40" s="263" cm="1">
        <f t="array" ref="CC40">IF($BT40=0,0,IF(NOT(ISERROR(FIND("-",BZ40))),
VALUE(RIGHT($BZ40,LEN($BZ40)-IF(LEN($BZ40)-LEN(SUBSTITUTE($BZ40,"-",""))=1,FIND("-",$BZ40),FIND("-",$BZ40,FIND("-",$BZ40)+1)))),
IF($BZ40&gt;0,0,INDEX($CC$1:$CC40,MAX(1,$CD40)))))</f>
        <v>0</v>
      </c>
      <c r="CD40" s="376">
        <f>MATCH(0,$CE$1:$CE40,-1)</f>
        <v>38</v>
      </c>
      <c r="CE40" s="263"/>
      <c r="CF40" s="377"/>
      <c r="CG40" s="376" cm="1">
        <f t="array" ref="CG40">INDEX($CG$1:$CG40,$CD40)</f>
        <v>6</v>
      </c>
      <c r="CH40" s="263">
        <f>MATCH($CA40,Premises!$A$10:$F$10,0)</f>
        <v>4</v>
      </c>
      <c r="CI40" s="263">
        <f>IF(ISBLANK($E40),0,IFERROR(MATCH($E40,MHR[Bezeichnung],0),0))</f>
        <v>0</v>
      </c>
      <c r="CJ40" s="377">
        <f>IF(ISBLANK($AQ40),0,IFERROR(MATCH($AQ40,MAT[Bezeichnung],0),0))</f>
        <v>0</v>
      </c>
      <c r="CK40" s="263" cm="1">
        <f t="array" ref="CK40">INDEX($D$1:$D40,$CD40)</f>
        <v>1</v>
      </c>
      <c r="CL40" s="263"/>
      <c r="CM40" s="378"/>
      <c r="CN40" s="379" cm="1">
        <f t="array" ref="CN40">IF($CB40=0,0,IF($CB40=INDEX($CB$1:$CB40,$CD40),INDEX($CN$1:$CN40,$CD40),$CP40))</f>
        <v>0</v>
      </c>
      <c r="CO40" s="378"/>
      <c r="CP40" s="379" cm="1">
        <f t="array" ref="CP40">IF($CC40=0,0,INDEX($CP$1:$CP40,$CD40))</f>
        <v>0</v>
      </c>
      <c r="CQ40" s="380"/>
      <c r="CR40" s="381"/>
      <c r="CS40" s="381"/>
      <c r="CT40" s="948"/>
      <c r="CU40" s="2"/>
      <c r="CV40" s="630">
        <f t="shared" si="119"/>
        <v>0</v>
      </c>
      <c r="CW40" s="631">
        <f t="shared" si="120"/>
        <v>0</v>
      </c>
      <c r="CX40" s="631">
        <f t="shared" si="121"/>
        <v>0</v>
      </c>
      <c r="CY40" s="631">
        <f t="shared" si="122"/>
        <v>0</v>
      </c>
      <c r="CZ40" s="631">
        <f t="shared" si="123"/>
        <v>0</v>
      </c>
      <c r="DA40" s="631">
        <f t="shared" si="124"/>
        <v>0</v>
      </c>
      <c r="DB40" s="631">
        <f t="shared" si="125"/>
        <v>0</v>
      </c>
      <c r="DC40" s="632">
        <f t="shared" si="126"/>
        <v>0</v>
      </c>
      <c r="DD40" s="631">
        <f t="shared" si="127"/>
        <v>0</v>
      </c>
      <c r="DE40" s="631">
        <f t="shared" si="128"/>
        <v>0</v>
      </c>
      <c r="DF40" s="631">
        <f t="shared" si="129"/>
        <v>0</v>
      </c>
      <c r="DG40" s="632">
        <f t="shared" si="130"/>
        <v>0</v>
      </c>
      <c r="DH40" s="632">
        <f t="shared" si="131"/>
        <v>0</v>
      </c>
      <c r="DI40" s="631">
        <f t="shared" si="132"/>
        <v>0</v>
      </c>
      <c r="DJ40" s="631">
        <f t="shared" si="133"/>
        <v>0</v>
      </c>
      <c r="DK40" s="631">
        <f t="shared" si="134"/>
        <v>0</v>
      </c>
      <c r="DL40" s="631">
        <f t="shared" si="135"/>
        <v>0</v>
      </c>
      <c r="DM40" s="631">
        <f t="shared" si="136"/>
        <v>0</v>
      </c>
      <c r="DN40" s="631">
        <f t="shared" si="137"/>
        <v>0</v>
      </c>
      <c r="DO40" s="631">
        <f t="shared" si="138"/>
        <v>0</v>
      </c>
      <c r="DP40" s="634">
        <f t="shared" si="139"/>
        <v>0</v>
      </c>
      <c r="DQ40" s="929">
        <f>IF($CB40=0,0,$DP40*_xlfn.XLOOKUP($CB40,Premises!$A$10:$F$10,Premises!$A$30:$F$30)/100)</f>
        <v>0</v>
      </c>
      <c r="DR40" s="633">
        <f>IFERROR(SUM($DP40:$DQ40)*IF(INDEX(Premises!$A$42:$F$42,1,MATCH($CB40,Premises!$A$10:$F$10,0))&gt;0,INDEX(Premises!$A$42:$F$42,1,MATCH($CB40,Premises!$A$10:$F$10,0))%,$CN40),0)</f>
        <v>0</v>
      </c>
      <c r="DS40" s="633" cm="1">
        <f t="array" ref="DS40">IF($CB40=0,0,SUM($DP40:$DR40)*_xlfn.XLOOKUP($CB40,Premises!$A$10:$F$10,IF(INDEX(Settings[],MATCH(3001,Settings[ID],0),2)="B",Premises!$A$33:$F$33,Premises!$A$31:$F$31))/100)</f>
        <v>0</v>
      </c>
      <c r="DT40" s="633" cm="1">
        <f t="array" ref="DT40">IF($CB40=0,0,$DP40*_xlfn.XLOOKUP($CB40,Premises!$A$10:$F$10,IF(INDEX(Settings[],MATCH(3002,Settings[ID],0),2)="B",Premises!$A$36:$F$36,Premises!$A$34:$F$34))/100)</f>
        <v>0</v>
      </c>
      <c r="DU40" s="633">
        <f>IF($CB40=0,0,SUM($DP40:$DT40)*_xlfn.XLOOKUP($CB40,Premises!$A$10:$F$10,Premises!$A$37:$F$37)/100)</f>
        <v>0</v>
      </c>
      <c r="DV40" s="932">
        <f t="shared" si="140"/>
        <v>0</v>
      </c>
      <c r="DW40" s="929">
        <f>IF($CC40=0,0,$DV40*_xlfn.XLOOKUP($CC40,Premises!$A$10:$F$10,Premises!$A$30:$F$30)/100)</f>
        <v>0</v>
      </c>
      <c r="DX40" s="633">
        <f>IFERROR(SUM($DV40:$DW40)*IF(INDEX(Premises!$A$42:$F$42,1,MATCH($CC40,Premises!$A$10:$F$10,0))&gt;0,INDEX(Premises!$A$42:$F$42,1,MATCH($CC40,Premises!$A$10:$F$10,0))%,$CP40),0)</f>
        <v>0</v>
      </c>
      <c r="DY40" s="633" cm="1">
        <f t="array" ref="DY40">IF($CC40=0,0,SUM($DV40:$DX40)*_xlfn.XLOOKUP($CC40,Premises!$A$10:$F$10,IF(INDEX(Settings[],MATCH(3001,Settings[ID],0),2)="B",Premises!$A$33:$F$33,Premises!$A$31:$F$31))/100)</f>
        <v>0</v>
      </c>
      <c r="DZ40" s="633" cm="1">
        <f t="array" ref="DZ40">IF($CC40=0,0,$DV40*_xlfn.XLOOKUP($CC40,Premises!$A$10:$F$10,IF(INDEX(Settings[],MATCH(3002,Settings[ID],0),2)="B",Premises!$A$36:$F$36,Premises!$A$34:$F$34))/100)</f>
        <v>0</v>
      </c>
      <c r="EA40" s="633">
        <f>IF($CC40=0,0,SUM($DV40:$DZ40)*_xlfn.XLOOKUP($CC40,Premises!$A$10:$F$10,Premises!$A$37:$F$37)/100)</f>
        <v>0</v>
      </c>
      <c r="EB40" s="634">
        <f t="shared" si="141"/>
        <v>0</v>
      </c>
      <c r="EC40" s="783"/>
      <c r="ED40" s="1082"/>
      <c r="EE40" s="633"/>
      <c r="EF40" s="1088"/>
      <c r="EG40" s="1086"/>
      <c r="EH40" s="1086"/>
      <c r="EI40" s="1086"/>
      <c r="EJ40" s="1086"/>
      <c r="EK40" s="1086"/>
      <c r="EL40" s="1086"/>
      <c r="EM40" s="1088"/>
      <c r="EN40" s="1086"/>
      <c r="EO40" s="1086"/>
      <c r="EP40" s="1086"/>
      <c r="EQ40" s="1086"/>
      <c r="ER40" s="1088"/>
      <c r="ES40" s="1086"/>
      <c r="ET40" s="1086"/>
      <c r="EU40" s="1086"/>
      <c r="EV40" s="1086"/>
      <c r="EW40" s="1086"/>
      <c r="EX40" s="1089"/>
      <c r="EY40" s="2"/>
      <c r="EZ40" s="2"/>
      <c r="FA40" s="2"/>
      <c r="FB40" s="2"/>
      <c r="FC40" s="2"/>
      <c r="FD40" s="2"/>
      <c r="FE40" s="2"/>
      <c r="FF40" s="2"/>
      <c r="FG40" s="2"/>
      <c r="FH40" s="2"/>
      <c r="FI40" s="2"/>
      <c r="FJ40" s="403"/>
      <c r="FK40" s="404"/>
      <c r="FL40" s="405"/>
      <c r="FM40" s="948"/>
    </row>
    <row r="41" spans="1:169" s="13" customFormat="1" ht="12.75" customHeight="1">
      <c r="A41" s="215"/>
      <c r="B41" s="385"/>
      <c r="C41" s="386"/>
      <c r="D41" s="629"/>
      <c r="E41" s="387"/>
      <c r="F41" s="388"/>
      <c r="G41" s="388"/>
      <c r="H41" s="388"/>
      <c r="I41" s="620" cm="1">
        <f t="array" ref="I41">IF($CI41=0,0,IFERROR(INDEX(MHR[],$CI41,MATCH($CA41,MHR!$B$4:$AY$4,0)),0))</f>
        <v>0</v>
      </c>
      <c r="J41" s="617">
        <f t="shared" si="95"/>
        <v>0</v>
      </c>
      <c r="K41" s="389"/>
      <c r="L41" s="390"/>
      <c r="M41" s="849"/>
      <c r="N41" s="390"/>
      <c r="O41" s="388"/>
      <c r="P41" s="628" cm="1">
        <f t="array" ref="P41">IF($K41=0,0,IFERROR(ROUNDUP(IF(ISNUMBER($K41),$K41,INDEX($D$1:$D41,$CD41)*INDEX(Premises!$A$13:$F$13,1,$CH41)/IF(OR($K41="T",$K41="D"),250,IF($K41="W",50,IF($K41="M",12,IF(OR($K41="HJ",$K41="HY"),2,IF(OR($K41="J",$K41="Y"),1,0)))))),0),0))</f>
        <v>0</v>
      </c>
      <c r="Q41" s="620" cm="1">
        <f t="array" ref="Q41">IF($K41=0,0,IFERROR(INDEX(Premises!$A$22:$F$22,1,$CH41)*100/INDEX(Premises!$A$16:$F$16,1,$CH41),0))</f>
        <v>0</v>
      </c>
      <c r="R41" s="617">
        <f>IF($P41=0,0,IFERROR(($L41/60*($I41+$Q41*$M41)+($N41/60*($Q41*$O41)))/$P41,0))</f>
        <v>0</v>
      </c>
      <c r="S41" s="391"/>
      <c r="T41" s="392"/>
      <c r="U41" s="620" cm="1">
        <f t="array" ref="U41">IF(COUNTBLANK($S41:$T41),0,
IF(AND(INDEX(MHR[Schichtmodell],$CI41)&lt;&gt;0,INDEX(MHR[Schichtmodell],$CI41)&lt;&gt;INDEX(Premises!$A$20:$F$20,1,$CH41)),ExchangeRate*
IF(OR($T41="M",$T41="U"),IF(INDEX(MHR[Schichtmodell],$CI41)=1,INDEX(LOC[M1S],INDEX(Premises!$A$18:$F$18,1,$CH41+1)),IF(INDEX(MHR[Schichtmodell],$CI41)=2,INDEX(LOC[M2S],INDEX(Premises!$A$18:$F$18,1,$CH41+1),IF(INDEX(MHR[Schichtmodell],$CI41)=3,INDEX(LOC[M3S],INDEX(Premises!$A$18:$F$18,1,$CH41+1)),0)))),
IF(INDEX(MHR[Schichtmodell],$CI41)=1,INDEX(LOC[F1S],INDEX(Premises!$A$18:$F$18,1,$CH41+1)),IF(INDEX(MHR[Schichtmodell],$CI41)=2,INDEX(LOC[F2S],INDEX(Premises!$A$18:$F$18,1,$CH41+1)),IF(INDEX(MHR[Schichtmodell],$CI41)=3,INDEX(LOC[F3S],INDEX(Premises!$A$18:$F$18,1,$CH41+1)),0)))),
IF(OR($T41="M",$T41="U"),INDEX(Premises!$A$21:$F$21,1,$CH41),
IF(OR($T41="F",$T41="S"),INDEX(Premises!$A$22:$F$22,1,$CH41),0)))*100/INDEX(Premises!$A$16:$F$16,1,$CH41))</f>
        <v>0</v>
      </c>
      <c r="V41" s="614">
        <f t="shared" si="96"/>
        <v>0</v>
      </c>
      <c r="W41" s="393"/>
      <c r="X41" s="386"/>
      <c r="Y41" s="394"/>
      <c r="Z41" s="395"/>
      <c r="AA41" s="611">
        <f t="shared" si="97"/>
        <v>0</v>
      </c>
      <c r="AB41" s="393"/>
      <c r="AC41" s="386"/>
      <c r="AD41" s="394"/>
      <c r="AE41" s="396"/>
      <c r="AF41" s="611">
        <f t="shared" si="98"/>
        <v>0</v>
      </c>
      <c r="AG41" s="612" cm="1">
        <f t="array" ref="AG41">IF(($J41+$V41+$AF41)=0,0,INDEX(Premises!$A$30:$F$30,1,$CH41)/100)</f>
        <v>0</v>
      </c>
      <c r="AH41" s="397"/>
      <c r="AI41" s="398"/>
      <c r="AJ41" s="399"/>
      <c r="AK41" s="613">
        <f t="shared" si="99"/>
        <v>0</v>
      </c>
      <c r="AL41" s="614">
        <f t="shared" si="100"/>
        <v>0</v>
      </c>
      <c r="AM41" s="615" cm="1">
        <f t="array" ref="AM41">IF($CI41=0,0,IFERROR(INDEX(MHR[],$CI41,MATCH($CA41,MHR!$B$4:$AY$4,0)+11),0))</f>
        <v>0</v>
      </c>
      <c r="AN41" s="616" cm="1">
        <f t="array" ref="AN41">IF(($J41+$V41)=0,0,IFERROR(IF(INDEX(Premises!$A$41:$F$41,1,$CH41)&lt;&gt;0,INDEX(Premises!$A$41:$F$41,1,$CH41)/100,(IFERROR(($J41/$I41)*$AM41,0)/($V41+$J41+$R41+$AL41))),0))</f>
        <v>0</v>
      </c>
      <c r="AO41" s="617">
        <f t="shared" si="101"/>
        <v>0</v>
      </c>
      <c r="AP41" s="618">
        <f t="shared" si="102"/>
        <v>0</v>
      </c>
      <c r="AQ41" s="393"/>
      <c r="AR41" s="392"/>
      <c r="AS41" s="619" cm="1">
        <f t="array" ref="AS41">IF($CJ41=0,0,IFERROR(INDEX(MAT[Einheit],$CJ41,1),0))</f>
        <v>0</v>
      </c>
      <c r="AT41" s="620" cm="1">
        <f t="array" ref="AT41">IF($CJ41=0,0,IFERROR(INDEX(MAT[Preis],$CJ41,1),0))</f>
        <v>0</v>
      </c>
      <c r="AU41" s="621">
        <f t="shared" si="103"/>
        <v>0</v>
      </c>
      <c r="AV41" s="622" cm="1">
        <f t="array" ref="AV41">IF($AU41&lt;=0,0,INDEX(Premises!$A$30:$F$30,1,$CH41)/100)</f>
        <v>0</v>
      </c>
      <c r="AW41" s="392"/>
      <c r="AX41" s="614">
        <f t="shared" si="104"/>
        <v>0</v>
      </c>
      <c r="AY41" s="623" cm="1">
        <f t="array" ref="AY41">IF($AT41&lt;=0,0,IFERROR(IF(INDEX(Premises!$A$42:$F$42,1,$CH41)&lt;&gt;0,INDEX(Premises!$A$42:$F$42,1,$CH41)/100,(INDEX(MAT[],$CJ41,MATCH($CA41,MAT!$B$4:$AE$4,0))/($AR41*$CK41*INDEX(Premises!$A$13:$F$13,1,$CH41))+INDEX(MAT[],$CJ41,MATCH($CA41,MAT!$B$4:$AE$4,0)+7))/$AT41),0))</f>
        <v>0</v>
      </c>
      <c r="AZ41" s="614">
        <f t="shared" si="105"/>
        <v>0</v>
      </c>
      <c r="BA41" s="618">
        <f t="shared" si="106"/>
        <v>0</v>
      </c>
      <c r="BB41" s="618">
        <f t="shared" si="107"/>
        <v>0</v>
      </c>
      <c r="BC41" s="622" cm="1">
        <f t="array" ref="BC41">IF($BB41&lt;=0,0,IF(BC$2=-1,0,INDEX(Premises!$A$32:$F$32,1,$CH41)/100))</f>
        <v>0</v>
      </c>
      <c r="BD41" s="614">
        <f t="shared" si="108"/>
        <v>0</v>
      </c>
      <c r="BE41" s="622" cm="1">
        <f t="array" ref="BE41">IF($BB41&lt;=0,0,IF(BE$2=-1,0,INDEX(Premises!$A$33:$F$33,1,$CH41)/100))</f>
        <v>0</v>
      </c>
      <c r="BF41" s="614">
        <f t="shared" si="109"/>
        <v>0</v>
      </c>
      <c r="BG41" s="622" cm="1">
        <f t="array" ref="BG41">IF($BB41&lt;=0,0,IF(BG$2=-1,0,INDEX(Premises!$A$31:$F$31,1,$CH41)/100))</f>
        <v>0</v>
      </c>
      <c r="BH41" s="614">
        <f t="shared" si="110"/>
        <v>0</v>
      </c>
      <c r="BI41" s="618">
        <f t="shared" si="111"/>
        <v>0</v>
      </c>
      <c r="BJ41" s="622" cm="1">
        <f t="array" ref="BJ41">IF($BB41&lt;=0,0,IF(BJ$2=-1,0,INDEX(Premises!$A$35:$F$35,1,$CH41)/100))</f>
        <v>0</v>
      </c>
      <c r="BK41" s="614">
        <f t="shared" si="112"/>
        <v>0</v>
      </c>
      <c r="BL41" s="622" cm="1">
        <f t="array" ref="BL41">IF($BB41&lt;=0,0,IF(BL$2=-1,0,INDEX(Premises!$A$36:$F$36,1,$CH41)/100))</f>
        <v>0</v>
      </c>
      <c r="BM41" s="614">
        <f t="shared" si="113"/>
        <v>0</v>
      </c>
      <c r="BN41" s="622" cm="1">
        <f t="array" ref="BN41">IF($BB41&lt;=0,0,IF(BN$2=-1,0,INDEX(Premises!$A$34:$F$34,1,$CH41)/100))</f>
        <v>0</v>
      </c>
      <c r="BO41" s="614">
        <f t="shared" si="114"/>
        <v>0</v>
      </c>
      <c r="BP41" s="622" cm="1">
        <f t="array" ref="BP41">IF($BI41=0,0,INDEX(Premises!$A$37:$F$37,1,$CH41)/100)</f>
        <v>0</v>
      </c>
      <c r="BQ41" s="392"/>
      <c r="BR41" s="614">
        <f t="shared" si="115"/>
        <v>0</v>
      </c>
      <c r="BS41" s="624">
        <f t="shared" si="116"/>
        <v>0</v>
      </c>
      <c r="BT41" s="624">
        <f t="shared" si="117"/>
        <v>0</v>
      </c>
      <c r="BU41" s="625">
        <f t="shared" si="118"/>
        <v>0</v>
      </c>
      <c r="BV41" s="1127"/>
      <c r="BW41" s="401"/>
      <c r="BX41" s="401"/>
      <c r="BY41" s="402"/>
      <c r="BZ41" s="946"/>
      <c r="CA41" s="263" cm="1">
        <f t="array" ref="CA41">IF($BZ41&gt;0,VALUE(LEFT($BZ41,IF(ISERROR(FIND("-",$BZ41)),LEN($BZ41),FIND("-",$BZ41)-1))),INDEX($CA$1:$CA41,MAX(1,$CD41)))</f>
        <v>1</v>
      </c>
      <c r="CB41" s="263" cm="1">
        <f t="array" ref="CB41">IF($BT41=0,0,IF(LEN($BZ41)-LEN(SUBSTITUTE($BZ41,"-",""))&gt;1,
VALUE(MID($BZ41,FIND("-",$BZ41)+1,FIND("-",$BZ41,FIND("-",$BZ41)+1)-FIND("-",$BZ41)-1)),IF($BZ41&gt;0,0,INDEX($CB$1:$CB41,MAX(1,$CD41)))))</f>
        <v>0</v>
      </c>
      <c r="CC41" s="263" cm="1">
        <f t="array" ref="CC41">IF($BT41=0,0,IF(NOT(ISERROR(FIND("-",BZ41))),
VALUE(RIGHT($BZ41,LEN($BZ41)-IF(LEN($BZ41)-LEN(SUBSTITUTE($BZ41,"-",""))=1,FIND("-",$BZ41),FIND("-",$BZ41,FIND("-",$BZ41)+1)))),
IF($BZ41&gt;0,0,INDEX($CC$1:$CC41,MAX(1,$CD41)))))</f>
        <v>0</v>
      </c>
      <c r="CD41" s="376">
        <f>MATCH(0,$CE$1:$CE41,-1)</f>
        <v>38</v>
      </c>
      <c r="CE41" s="263"/>
      <c r="CF41" s="377"/>
      <c r="CG41" s="376" cm="1">
        <f t="array" ref="CG41">INDEX($CG$1:$CG41,$CD41)</f>
        <v>6</v>
      </c>
      <c r="CH41" s="263">
        <f>MATCH($CA41,Premises!$A$10:$F$10,0)</f>
        <v>4</v>
      </c>
      <c r="CI41" s="263">
        <f>IF(ISBLANK($E41),0,IFERROR(MATCH($E41,MHR[Bezeichnung],0),0))</f>
        <v>0</v>
      </c>
      <c r="CJ41" s="377">
        <f>IF(ISBLANK($AQ41),0,IFERROR(MATCH($AQ41,MAT[Bezeichnung],0),0))</f>
        <v>0</v>
      </c>
      <c r="CK41" s="263" cm="1">
        <f t="array" ref="CK41">INDEX($D$1:$D41,$CD41)</f>
        <v>1</v>
      </c>
      <c r="CL41" s="263"/>
      <c r="CM41" s="378"/>
      <c r="CN41" s="379" cm="1">
        <f t="array" ref="CN41">IF($CB41=0,0,IF($CB41=INDEX($CB$1:$CB41,$CD41),INDEX($CN$1:$CN41,$CD41),$CP41))</f>
        <v>0</v>
      </c>
      <c r="CO41" s="378"/>
      <c r="CP41" s="379" cm="1">
        <f t="array" ref="CP41">IF($CC41=0,0,INDEX($CP$1:$CP41,$CD41))</f>
        <v>0</v>
      </c>
      <c r="CQ41" s="380"/>
      <c r="CR41" s="381"/>
      <c r="CS41" s="381"/>
      <c r="CT41" s="1132"/>
      <c r="CU41" s="1129"/>
      <c r="CV41" s="630">
        <f t="shared" si="119"/>
        <v>0</v>
      </c>
      <c r="CW41" s="631">
        <f t="shared" si="120"/>
        <v>0</v>
      </c>
      <c r="CX41" s="631">
        <f t="shared" si="121"/>
        <v>0</v>
      </c>
      <c r="CY41" s="631">
        <f t="shared" si="122"/>
        <v>0</v>
      </c>
      <c r="CZ41" s="631">
        <f t="shared" si="123"/>
        <v>0</v>
      </c>
      <c r="DA41" s="631">
        <f t="shared" si="124"/>
        <v>0</v>
      </c>
      <c r="DB41" s="631">
        <f t="shared" si="125"/>
        <v>0</v>
      </c>
      <c r="DC41" s="632">
        <f t="shared" si="126"/>
        <v>0</v>
      </c>
      <c r="DD41" s="631">
        <f t="shared" si="127"/>
        <v>0</v>
      </c>
      <c r="DE41" s="631">
        <f t="shared" si="128"/>
        <v>0</v>
      </c>
      <c r="DF41" s="631">
        <f t="shared" si="129"/>
        <v>0</v>
      </c>
      <c r="DG41" s="632">
        <f t="shared" si="130"/>
        <v>0</v>
      </c>
      <c r="DH41" s="632">
        <f t="shared" si="131"/>
        <v>0</v>
      </c>
      <c r="DI41" s="631">
        <f t="shared" si="132"/>
        <v>0</v>
      </c>
      <c r="DJ41" s="631">
        <f t="shared" si="133"/>
        <v>0</v>
      </c>
      <c r="DK41" s="631">
        <f t="shared" si="134"/>
        <v>0</v>
      </c>
      <c r="DL41" s="631">
        <f t="shared" si="135"/>
        <v>0</v>
      </c>
      <c r="DM41" s="631">
        <f t="shared" si="136"/>
        <v>0</v>
      </c>
      <c r="DN41" s="631">
        <f t="shared" si="137"/>
        <v>0</v>
      </c>
      <c r="DO41" s="631">
        <f t="shared" si="138"/>
        <v>0</v>
      </c>
      <c r="DP41" s="634">
        <f t="shared" si="139"/>
        <v>0</v>
      </c>
      <c r="DQ41" s="929">
        <f>IF($CB41=0,0,$DP41*_xlfn.XLOOKUP($CB41,Premises!$A$10:$F$10,Premises!$A$30:$F$30)/100)</f>
        <v>0</v>
      </c>
      <c r="DR41" s="633">
        <f>IFERROR(SUM($DP41:$DQ41)*IF(INDEX(Premises!$A$42:$F$42,1,MATCH($CB41,Premises!$A$10:$F$10,0))&gt;0,INDEX(Premises!$A$42:$F$42,1,MATCH($CB41,Premises!$A$10:$F$10,0))%,$CN41),0)</f>
        <v>0</v>
      </c>
      <c r="DS41" s="633" cm="1">
        <f t="array" ref="DS41">IF($CB41=0,0,SUM($DP41:$DR41)*_xlfn.XLOOKUP($CB41,Premises!$A$10:$F$10,IF(INDEX(Settings[],MATCH(3001,Settings[ID],0),2)="B",Premises!$A$33:$F$33,Premises!$A$31:$F$31))/100)</f>
        <v>0</v>
      </c>
      <c r="DT41" s="633" cm="1">
        <f t="array" ref="DT41">IF($CB41=0,0,$DP41*_xlfn.XLOOKUP($CB41,Premises!$A$10:$F$10,IF(INDEX(Settings[],MATCH(3002,Settings[ID],0),2)="B",Premises!$A$36:$F$36,Premises!$A$34:$F$34))/100)</f>
        <v>0</v>
      </c>
      <c r="DU41" s="633">
        <f>IF($CB41=0,0,SUM($DP41:$DT41)*_xlfn.XLOOKUP($CB41,Premises!$A$10:$F$10,Premises!$A$37:$F$37)/100)</f>
        <v>0</v>
      </c>
      <c r="DV41" s="932">
        <f t="shared" si="140"/>
        <v>0</v>
      </c>
      <c r="DW41" s="929">
        <f>IF($CC41=0,0,$DV41*_xlfn.XLOOKUP($CC41,Premises!$A$10:$F$10,Premises!$A$30:$F$30)/100)</f>
        <v>0</v>
      </c>
      <c r="DX41" s="633">
        <f>IFERROR(SUM($DV41:$DW41)*IF(INDEX(Premises!$A$42:$F$42,1,MATCH($CC41,Premises!$A$10:$F$10,0))&gt;0,INDEX(Premises!$A$42:$F$42,1,MATCH($CC41,Premises!$A$10:$F$10,0))%,$CP41),0)</f>
        <v>0</v>
      </c>
      <c r="DY41" s="633" cm="1">
        <f t="array" ref="DY41">IF($CC41=0,0,SUM($DV41:$DX41)*_xlfn.XLOOKUP($CC41,Premises!$A$10:$F$10,IF(INDEX(Settings[],MATCH(3001,Settings[ID],0),2)="B",Premises!$A$33:$F$33,Premises!$A$31:$F$31))/100)</f>
        <v>0</v>
      </c>
      <c r="DZ41" s="633" cm="1">
        <f t="array" ref="DZ41">IF($CC41=0,0,$DV41*_xlfn.XLOOKUP($CC41,Premises!$A$10:$F$10,IF(INDEX(Settings[],MATCH(3002,Settings[ID],0),2)="B",Premises!$A$36:$F$36,Premises!$A$34:$F$34))/100)</f>
        <v>0</v>
      </c>
      <c r="EA41" s="633">
        <f>IF($CC41=0,0,SUM($DV41:$DZ41)*_xlfn.XLOOKUP($CC41,Premises!$A$10:$F$10,Premises!$A$37:$F$37)/100)</f>
        <v>0</v>
      </c>
      <c r="EB41" s="634">
        <f t="shared" si="141"/>
        <v>0</v>
      </c>
      <c r="EC41" s="783"/>
      <c r="ED41" s="1082"/>
      <c r="EE41" s="633"/>
      <c r="EF41" s="1088"/>
      <c r="EG41" s="1086"/>
      <c r="EH41" s="1086"/>
      <c r="EI41" s="1086"/>
      <c r="EJ41" s="1086"/>
      <c r="EK41" s="1086"/>
      <c r="EL41" s="1086"/>
      <c r="EM41" s="1088"/>
      <c r="EN41" s="1086"/>
      <c r="EO41" s="1086"/>
      <c r="EP41" s="1086"/>
      <c r="EQ41" s="1086"/>
      <c r="ER41" s="1088"/>
      <c r="ES41" s="1086"/>
      <c r="ET41" s="1086"/>
      <c r="EU41" s="1086"/>
      <c r="EV41" s="1086"/>
      <c r="EW41" s="1086"/>
      <c r="EX41" s="1089"/>
      <c r="EY41" s="2"/>
      <c r="EZ41" s="2"/>
      <c r="FA41" s="2"/>
      <c r="FB41" s="2"/>
      <c r="FC41" s="2"/>
      <c r="FD41" s="2"/>
      <c r="FE41" s="2"/>
      <c r="FF41" s="2"/>
      <c r="FG41" s="2"/>
      <c r="FH41" s="2"/>
      <c r="FI41" s="2"/>
      <c r="FJ41" s="403"/>
      <c r="FK41" s="404"/>
      <c r="FL41" s="405"/>
      <c r="FM41" s="1133"/>
    </row>
    <row r="42" spans="1:169" s="13" customFormat="1" ht="12.75" customHeight="1">
      <c r="A42" s="215"/>
      <c r="B42" s="385" t="s">
        <v>4130</v>
      </c>
      <c r="C42" s="386"/>
      <c r="D42" s="629"/>
      <c r="E42" s="387" t="s">
        <v>4135</v>
      </c>
      <c r="F42" s="388">
        <f>86.6+63.4</f>
        <v>150</v>
      </c>
      <c r="G42" s="388" t="s">
        <v>93</v>
      </c>
      <c r="H42" s="388">
        <v>12</v>
      </c>
      <c r="I42" s="620" cm="1">
        <f t="array" ref="I42">IF($CI42=0,0,IFERROR(INDEX(MHR[],$CI42,MATCH($CA42,MHR!$B$4:$AY$4,0)),0))</f>
        <v>48.837872708333336</v>
      </c>
      <c r="J42" s="617">
        <f t="shared" si="95"/>
        <v>0.16957594690393518</v>
      </c>
      <c r="K42" s="389" t="s">
        <v>49</v>
      </c>
      <c r="L42" s="390">
        <v>30</v>
      </c>
      <c r="M42" s="849">
        <v>3</v>
      </c>
      <c r="N42" s="390"/>
      <c r="O42" s="388"/>
      <c r="P42" s="628">
        <v>3334</v>
      </c>
      <c r="Q42" s="620">
        <v>16.537500000000001</v>
      </c>
      <c r="R42" s="617">
        <v>1.5640783243351331E-2</v>
      </c>
      <c r="S42" s="391">
        <v>2</v>
      </c>
      <c r="T42" s="392" t="s">
        <v>275</v>
      </c>
      <c r="U42" s="620" cm="1">
        <f t="array" ref="U42">IF(COUNTBLANK($S42:$T42),0,
IF(AND(INDEX(MHR[Schichtmodell],$CI42)&lt;&gt;0,INDEX(MHR[Schichtmodell],$CI42)&lt;&gt;INDEX(Premises!$A$20:$F$20,1,$CH42)),ExchangeRate*
IF(OR($T42="M",$T42="U"),IF(INDEX(MHR[Schichtmodell],$CI42)=1,INDEX(LOC[M1S],INDEX(Premises!$A$18:$F$18,1,$CH42+1)),IF(INDEX(MHR[Schichtmodell],$CI42)=2,INDEX(LOC[M2S],INDEX(Premises!$A$18:$F$18,1,$CH42+1),IF(INDEX(MHR[Schichtmodell],$CI42)=3,INDEX(LOC[M3S],INDEX(Premises!$A$18:$F$18,1,$CH42+1)),0)))),
IF(INDEX(MHR[Schichtmodell],$CI42)=1,INDEX(LOC[F1S],INDEX(Premises!$A$18:$F$18,1,$CH42+1)),IF(INDEX(MHR[Schichtmodell],$CI42)=2,INDEX(LOC[F2S],INDEX(Premises!$A$18:$F$18,1,$CH42+1)),IF(INDEX(MHR[Schichtmodell],$CI42)=3,INDEX(LOC[F3S],INDEX(Premises!$A$18:$F$18,1,$CH42+1)),0)))),
IF(OR($T42="M",$T42="U"),INDEX(Premises!$A$21:$F$21,1,$CH42),
IF(OR($T42="F",$T42="S"),INDEX(Premises!$A$22:$F$22,1,$CH42),0)))*100/INDEX(Premises!$A$16:$F$16,1,$CH42))</f>
        <v>11.762499999999999</v>
      </c>
      <c r="V42" s="614">
        <f t="shared" si="96"/>
        <v>8.1684027777777765E-2</v>
      </c>
      <c r="W42" s="393"/>
      <c r="X42" s="386"/>
      <c r="Y42" s="394"/>
      <c r="Z42" s="395"/>
      <c r="AA42" s="611">
        <f t="shared" si="97"/>
        <v>0</v>
      </c>
      <c r="AB42" s="393"/>
      <c r="AC42" s="386"/>
      <c r="AD42" s="394"/>
      <c r="AE42" s="396"/>
      <c r="AF42" s="611">
        <f t="shared" si="98"/>
        <v>0</v>
      </c>
      <c r="AG42" s="612" cm="1">
        <f t="array" ref="AG42">IF(($J42+$V42+$AF42)=0,0,INDEX(Premises!$A$30:$F$30,1,$CH42)/100)</f>
        <v>0.01</v>
      </c>
      <c r="AH42" s="397"/>
      <c r="AI42" s="398"/>
      <c r="AJ42" s="399"/>
      <c r="AK42" s="613">
        <f t="shared" si="99"/>
        <v>0</v>
      </c>
      <c r="AL42" s="614">
        <f t="shared" si="100"/>
        <v>2.5125997468171297E-3</v>
      </c>
      <c r="AM42" s="615" cm="1">
        <f t="array" ref="AM42">IF($CI42=0,0,IFERROR(INDEX(MHR[],$CI42,MATCH($CA42,MHR!$B$4:$AY$4,0)+11),0))</f>
        <v>10.810270866302181</v>
      </c>
      <c r="AN42" s="616" cm="1">
        <f t="array" ref="AN42">IF(($J42+$V42)=0,0,IFERROR(IF(INDEX(Premises!$A$41:$F$41,1,$CH42)&lt;&gt;0,INDEX(Premises!$A$41:$F$41,1,$CH42)/100,(IFERROR(($J42/$I42)*$AM42,0)/($V42+$J42+$R42+$AL42))),0))</f>
        <v>0.13932368853043509</v>
      </c>
      <c r="AO42" s="617">
        <f t="shared" si="101"/>
        <v>3.7535662730215906E-2</v>
      </c>
      <c r="AP42" s="618">
        <f t="shared" si="102"/>
        <v>0.30694902040209732</v>
      </c>
      <c r="AQ42" s="393"/>
      <c r="AR42" s="392"/>
      <c r="AS42" s="619" cm="1">
        <f t="array" ref="AS42">IF($CJ42=0,0,IFERROR(INDEX(MAT[Einheit],$CJ42,1),0))</f>
        <v>0</v>
      </c>
      <c r="AT42" s="620" cm="1">
        <f t="array" ref="AT42">IF($CJ42=0,0,IFERROR(INDEX(MAT[Preis],$CJ42,1),0))</f>
        <v>0</v>
      </c>
      <c r="AU42" s="621">
        <f t="shared" si="103"/>
        <v>0</v>
      </c>
      <c r="AV42" s="622" cm="1">
        <f t="array" ref="AV42">IF($AU42&lt;=0,0,INDEX(Premises!$A$30:$F$30,1,$CH42)/100)</f>
        <v>0</v>
      </c>
      <c r="AW42" s="392"/>
      <c r="AX42" s="614">
        <f t="shared" si="104"/>
        <v>0</v>
      </c>
      <c r="AY42" s="623" cm="1">
        <f t="array" ref="AY42">IF($AT42&lt;=0,0,IFERROR(IF(INDEX(Premises!$A$42:$F$42,1,$CH42)&lt;&gt;0,INDEX(Premises!$A$42:$F$42,1,$CH42)/100,(INDEX(MAT[],$CJ42,MATCH($CA42,MAT!$B$4:$AE$4,0))/($AR42*$CK42*INDEX(Premises!$A$13:$F$13,1,$CH42))+INDEX(MAT[],$CJ42,MATCH($CA42,MAT!$B$4:$AE$4,0)+7))/$AT42),0))</f>
        <v>0</v>
      </c>
      <c r="AZ42" s="614">
        <f t="shared" si="105"/>
        <v>0</v>
      </c>
      <c r="BA42" s="618">
        <f t="shared" si="106"/>
        <v>0</v>
      </c>
      <c r="BB42" s="618">
        <f t="shared" si="107"/>
        <v>0.30694902040209732</v>
      </c>
      <c r="BC42" s="622" cm="1">
        <f t="array" ref="BC42">IF($BB42&lt;=0,0,IF(BC$2=-1,0,INDEX(Premises!$A$32:$F$32,1,$CH42)/100))</f>
        <v>0</v>
      </c>
      <c r="BD42" s="614">
        <f t="shared" si="108"/>
        <v>0</v>
      </c>
      <c r="BE42" s="622" cm="1">
        <f t="array" ref="BE42">IF($BB42&lt;=0,0,IF(BE$2=-1,0,INDEX(Premises!$A$33:$F$33,1,$CH42)/100))</f>
        <v>0</v>
      </c>
      <c r="BF42" s="614">
        <f t="shared" si="109"/>
        <v>0</v>
      </c>
      <c r="BG42" s="622" cm="1">
        <f t="array" ref="BG42">IF($BB42&lt;=0,0,IF(BG$2=-1,0,INDEX(Premises!$A$31:$F$31,1,$CH42)/100))</f>
        <v>0.1</v>
      </c>
      <c r="BH42" s="614">
        <f t="shared" si="110"/>
        <v>3.044364206552802E-2</v>
      </c>
      <c r="BI42" s="618">
        <f t="shared" si="111"/>
        <v>0.33739266246762534</v>
      </c>
      <c r="BJ42" s="622" cm="1">
        <f t="array" ref="BJ42">IF($BB42&lt;=0,0,IF(BJ$2=-1,0,INDEX(Premises!$A$35:$F$35,1,$CH42)/100))</f>
        <v>0</v>
      </c>
      <c r="BK42" s="614">
        <f t="shared" si="112"/>
        <v>0</v>
      </c>
      <c r="BL42" s="622" cm="1">
        <f t="array" ref="BL42">IF($BB42&lt;=0,0,IF(BL$2=-1,0,INDEX(Premises!$A$36:$F$36,1,$CH42)/100))</f>
        <v>0</v>
      </c>
      <c r="BM42" s="614">
        <f t="shared" si="113"/>
        <v>0</v>
      </c>
      <c r="BN42" s="622" cm="1">
        <f t="array" ref="BN42">IF($BB42&lt;=0,0,IF(BN$2=-1,0,INDEX(Premises!$A$34:$F$34,1,$CH42)/100))</f>
        <v>0.06</v>
      </c>
      <c r="BO42" s="614">
        <f t="shared" si="114"/>
        <v>1.826618523931681E-2</v>
      </c>
      <c r="BP42" s="622" cm="1">
        <f t="array" ref="BP42">IF($BI42=0,0,INDEX(Premises!$A$37:$F$37,1,$CH42)/100)</f>
        <v>0</v>
      </c>
      <c r="BQ42" s="392"/>
      <c r="BR42" s="614">
        <f t="shared" si="115"/>
        <v>0</v>
      </c>
      <c r="BS42" s="624">
        <f t="shared" si="116"/>
        <v>0.35565884770694217</v>
      </c>
      <c r="BT42" s="624">
        <f t="shared" si="117"/>
        <v>0.35565884770694217</v>
      </c>
      <c r="BU42" s="625">
        <f t="shared" si="118"/>
        <v>1</v>
      </c>
      <c r="BV42" s="1127"/>
      <c r="BW42" s="401"/>
      <c r="BX42" s="401"/>
      <c r="BY42" s="402"/>
      <c r="BZ42" s="946"/>
      <c r="CA42" s="263" cm="1">
        <f t="array" ref="CA42">IF($BZ42&gt;0,VALUE(LEFT($BZ42,IF(ISERROR(FIND("-",$BZ42)),LEN($BZ42),FIND("-",$BZ42)-1))),INDEX($CA$1:$CA42,MAX(1,$CD42)))</f>
        <v>1</v>
      </c>
      <c r="CB42" s="263" cm="1">
        <f t="array" ref="CB42">IF($BT42=0,0,IF(LEN($BZ42)-LEN(SUBSTITUTE($BZ42,"-",""))&gt;1,
VALUE(MID($BZ42,FIND("-",$BZ42)+1,FIND("-",$BZ42,FIND("-",$BZ42)+1)-FIND("-",$BZ42)-1)),IF($BZ42&gt;0,0,INDEX($CB$1:$CB42,MAX(1,$CD42)))))</f>
        <v>0</v>
      </c>
      <c r="CC42" s="263" cm="1">
        <f t="array" ref="CC42">IF($BT42=0,0,IF(NOT(ISERROR(FIND("-",BZ42))),
VALUE(RIGHT($BZ42,LEN($BZ42)-IF(LEN($BZ42)-LEN(SUBSTITUTE($BZ42,"-",""))=1,FIND("-",$BZ42),FIND("-",$BZ42,FIND("-",$BZ42)+1)))),
IF($BZ42&gt;0,0,INDEX($CC$1:$CC42,MAX(1,$CD42)))))</f>
        <v>0</v>
      </c>
      <c r="CD42" s="376">
        <f>MATCH(0,$CE$1:$CE42,-1)</f>
        <v>38</v>
      </c>
      <c r="CE42" s="263"/>
      <c r="CF42" s="377"/>
      <c r="CG42" s="376" cm="1">
        <f t="array" ref="CG42">INDEX($CG$1:$CG42,$CD42)</f>
        <v>6</v>
      </c>
      <c r="CH42" s="263">
        <f>MATCH($CA42,Premises!$A$10:$F$10,0)</f>
        <v>4</v>
      </c>
      <c r="CI42" s="263">
        <f>IF(ISBLANK($E42),0,IFERROR(MATCH($E42,MHR[Bezeichnung],0),0))</f>
        <v>1</v>
      </c>
      <c r="CJ42" s="377">
        <f>IF(ISBLANK($AQ42),0,IFERROR(MATCH($AQ42,MAT[Bezeichnung],0),0))</f>
        <v>0</v>
      </c>
      <c r="CK42" s="263" cm="1">
        <f t="array" ref="CK42">INDEX($D$1:$D42,$CD42)</f>
        <v>1</v>
      </c>
      <c r="CL42" s="263"/>
      <c r="CM42" s="378"/>
      <c r="CN42" s="379" cm="1">
        <f t="array" ref="CN42">IF($CB42=0,0,IF($CB42=INDEX($CB$1:$CB42,$CD42),INDEX($CN$1:$CN42,$CD42),$CP42))</f>
        <v>0</v>
      </c>
      <c r="CO42" s="378"/>
      <c r="CP42" s="379" cm="1">
        <f t="array" ref="CP42">IF($CC42=0,0,INDEX($CP$1:$CP42,$CD42))</f>
        <v>0</v>
      </c>
      <c r="CQ42" s="380"/>
      <c r="CR42" s="381"/>
      <c r="CS42" s="381"/>
      <c r="CT42" s="1132"/>
      <c r="CU42" s="1129"/>
      <c r="CV42" s="630">
        <f t="shared" si="119"/>
        <v>0.16957594690393518</v>
      </c>
      <c r="CW42" s="631">
        <f t="shared" si="120"/>
        <v>1.5640783243351331E-2</v>
      </c>
      <c r="CX42" s="631">
        <f t="shared" si="121"/>
        <v>8.1684027777777765E-2</v>
      </c>
      <c r="CY42" s="631">
        <f t="shared" si="122"/>
        <v>0</v>
      </c>
      <c r="CZ42" s="631">
        <f t="shared" si="123"/>
        <v>0</v>
      </c>
      <c r="DA42" s="631">
        <f t="shared" si="124"/>
        <v>2.5125997468171297E-3</v>
      </c>
      <c r="DB42" s="631">
        <f t="shared" si="125"/>
        <v>3.7535662730215906E-2</v>
      </c>
      <c r="DC42" s="632">
        <f t="shared" si="126"/>
        <v>0.30694902040209732</v>
      </c>
      <c r="DD42" s="631">
        <f t="shared" si="127"/>
        <v>0</v>
      </c>
      <c r="DE42" s="631">
        <f t="shared" si="128"/>
        <v>0</v>
      </c>
      <c r="DF42" s="631">
        <f t="shared" si="129"/>
        <v>0</v>
      </c>
      <c r="DG42" s="632">
        <f t="shared" si="130"/>
        <v>0</v>
      </c>
      <c r="DH42" s="632">
        <f t="shared" si="131"/>
        <v>0.30694902040209732</v>
      </c>
      <c r="DI42" s="631">
        <f t="shared" si="132"/>
        <v>0</v>
      </c>
      <c r="DJ42" s="631">
        <f t="shared" si="133"/>
        <v>0</v>
      </c>
      <c r="DK42" s="631">
        <f t="shared" si="134"/>
        <v>3.044364206552802E-2</v>
      </c>
      <c r="DL42" s="631">
        <f t="shared" si="135"/>
        <v>0</v>
      </c>
      <c r="DM42" s="631">
        <f t="shared" si="136"/>
        <v>0</v>
      </c>
      <c r="DN42" s="631">
        <f t="shared" si="137"/>
        <v>1.826618523931681E-2</v>
      </c>
      <c r="DO42" s="631">
        <f t="shared" si="138"/>
        <v>0</v>
      </c>
      <c r="DP42" s="634">
        <f t="shared" si="139"/>
        <v>0.35565884770694217</v>
      </c>
      <c r="DQ42" s="929">
        <f>IF($CB42=0,0,$DP42*_xlfn.XLOOKUP($CB42,Premises!$A$10:$F$10,Premises!$A$30:$F$30)/100)</f>
        <v>0</v>
      </c>
      <c r="DR42" s="633">
        <f>IFERROR(SUM($DP42:$DQ42)*IF(INDEX(Premises!$A$42:$F$42,1,MATCH($CB42,Premises!$A$10:$F$10,0))&gt;0,INDEX(Premises!$A$42:$F$42,1,MATCH($CB42,Premises!$A$10:$F$10,0))%,$CN42),0)</f>
        <v>0</v>
      </c>
      <c r="DS42" s="633" cm="1">
        <f t="array" ref="DS42">IF($CB42=0,0,SUM($DP42:$DR42)*_xlfn.XLOOKUP($CB42,Premises!$A$10:$F$10,IF(INDEX(Settings[],MATCH(3001,Settings[ID],0),2)="B",Premises!$A$33:$F$33,Premises!$A$31:$F$31))/100)</f>
        <v>0</v>
      </c>
      <c r="DT42" s="633" cm="1">
        <f t="array" ref="DT42">IF($CB42=0,0,$DP42*_xlfn.XLOOKUP($CB42,Premises!$A$10:$F$10,IF(INDEX(Settings[],MATCH(3002,Settings[ID],0),2)="B",Premises!$A$36:$F$36,Premises!$A$34:$F$34))/100)</f>
        <v>0</v>
      </c>
      <c r="DU42" s="633">
        <f>IF($CB42=0,0,SUM($DP42:$DT42)*_xlfn.XLOOKUP($CB42,Premises!$A$10:$F$10,Premises!$A$37:$F$37)/100)</f>
        <v>0</v>
      </c>
      <c r="DV42" s="932">
        <f t="shared" si="140"/>
        <v>0.35565884770694217</v>
      </c>
      <c r="DW42" s="929">
        <f>IF($CC42=0,0,$DV42*_xlfn.XLOOKUP($CC42,Premises!$A$10:$F$10,Premises!$A$30:$F$30)/100)</f>
        <v>0</v>
      </c>
      <c r="DX42" s="633">
        <f>IFERROR(SUM($DV42:$DW42)*IF(INDEX(Premises!$A$42:$F$42,1,MATCH($CC42,Premises!$A$10:$F$10,0))&gt;0,INDEX(Premises!$A$42:$F$42,1,MATCH($CC42,Premises!$A$10:$F$10,0))%,$CP42),0)</f>
        <v>0</v>
      </c>
      <c r="DY42" s="633" cm="1">
        <f t="array" ref="DY42">IF($CC42=0,0,SUM($DV42:$DX42)*_xlfn.XLOOKUP($CC42,Premises!$A$10:$F$10,IF(INDEX(Settings[],MATCH(3001,Settings[ID],0),2)="B",Premises!$A$33:$F$33,Premises!$A$31:$F$31))/100)</f>
        <v>0</v>
      </c>
      <c r="DZ42" s="633" cm="1">
        <f t="array" ref="DZ42">IF($CC42=0,0,$DV42*_xlfn.XLOOKUP($CC42,Premises!$A$10:$F$10,IF(INDEX(Settings[],MATCH(3002,Settings[ID],0),2)="B",Premises!$A$36:$F$36,Premises!$A$34:$F$34))/100)</f>
        <v>0</v>
      </c>
      <c r="EA42" s="633">
        <f>IF($CC42=0,0,SUM($DV42:$DZ42)*_xlfn.XLOOKUP($CC42,Premises!$A$10:$F$10,Premises!$A$37:$F$37)/100)</f>
        <v>0</v>
      </c>
      <c r="EB42" s="634">
        <f t="shared" si="141"/>
        <v>0.35565884770694217</v>
      </c>
      <c r="EC42" s="783"/>
      <c r="ED42" s="1082"/>
      <c r="EE42" s="633"/>
      <c r="EF42" s="1088"/>
      <c r="EG42" s="1086"/>
      <c r="EH42" s="1086"/>
      <c r="EI42" s="1086"/>
      <c r="EJ42" s="1086"/>
      <c r="EK42" s="1086"/>
      <c r="EL42" s="1086"/>
      <c r="EM42" s="1088"/>
      <c r="EN42" s="1086"/>
      <c r="EO42" s="1086"/>
      <c r="EP42" s="1086"/>
      <c r="EQ42" s="1086"/>
      <c r="ER42" s="1088"/>
      <c r="ES42" s="1086"/>
      <c r="ET42" s="1086"/>
      <c r="EU42" s="1086"/>
      <c r="EV42" s="1086"/>
      <c r="EW42" s="1086"/>
      <c r="EX42" s="1089"/>
      <c r="EY42" s="2"/>
      <c r="EZ42" s="2"/>
      <c r="FA42" s="2"/>
      <c r="FB42" s="2"/>
      <c r="FC42" s="2"/>
      <c r="FD42" s="2"/>
      <c r="FE42" s="2"/>
      <c r="FF42" s="2"/>
      <c r="FG42" s="2"/>
      <c r="FH42" s="2"/>
      <c r="FI42" s="2"/>
      <c r="FJ42" s="403"/>
      <c r="FK42" s="404"/>
      <c r="FL42" s="405"/>
      <c r="FM42" s="1133"/>
    </row>
    <row r="43" spans="1:169" s="13" customFormat="1" ht="12.75" customHeight="1">
      <c r="A43" s="215"/>
      <c r="B43" s="385" t="s">
        <v>4133</v>
      </c>
      <c r="C43" s="386"/>
      <c r="D43" s="629"/>
      <c r="E43" s="387" t="s">
        <v>4143</v>
      </c>
      <c r="F43" s="388">
        <v>120</v>
      </c>
      <c r="G43" s="388" t="s">
        <v>93</v>
      </c>
      <c r="H43" s="388">
        <v>30</v>
      </c>
      <c r="I43" s="620" cm="1">
        <f t="array" ref="I43">IF($CI43=0,0,IFERROR(INDEX(MHR[],$CI43,MATCH($CA43,MHR!$B$4:$AY$4,0)),0))</f>
        <v>5.0533292901785716</v>
      </c>
      <c r="J43" s="617">
        <f t="shared" si="95"/>
        <v>5.6148103224206349E-3</v>
      </c>
      <c r="K43" s="389" t="s">
        <v>49</v>
      </c>
      <c r="L43" s="390">
        <v>15</v>
      </c>
      <c r="M43" s="849">
        <v>1</v>
      </c>
      <c r="N43" s="390"/>
      <c r="O43" s="388"/>
      <c r="P43" s="628">
        <v>3334</v>
      </c>
      <c r="Q43" s="620">
        <v>16.537500000000001</v>
      </c>
      <c r="R43" s="617">
        <v>1.6598326080319652E-3</v>
      </c>
      <c r="S43" s="391">
        <v>1</v>
      </c>
      <c r="T43" s="392" t="s">
        <v>275</v>
      </c>
      <c r="U43" s="620" cm="1">
        <f t="array" ref="U43">IF(COUNTBLANK($S43:$T43),0,
IF(AND(INDEX(MHR[Schichtmodell],$CI43)&lt;&gt;0,INDEX(MHR[Schichtmodell],$CI43)&lt;&gt;INDEX(Premises!$A$20:$F$20,1,$CH43)),ExchangeRate*
IF(OR($T43="M",$T43="U"),IF(INDEX(MHR[Schichtmodell],$CI43)=1,INDEX(LOC[M1S],INDEX(Premises!$A$18:$F$18,1,$CH43+1)),IF(INDEX(MHR[Schichtmodell],$CI43)=2,INDEX(LOC[M2S],INDEX(Premises!$A$18:$F$18,1,$CH43+1),IF(INDEX(MHR[Schichtmodell],$CI43)=3,INDEX(LOC[M3S],INDEX(Premises!$A$18:$F$18,1,$CH43+1)),0)))),
IF(INDEX(MHR[Schichtmodell],$CI43)=1,INDEX(LOC[F1S],INDEX(Premises!$A$18:$F$18,1,$CH43+1)),IF(INDEX(MHR[Schichtmodell],$CI43)=2,INDEX(LOC[F2S],INDEX(Premises!$A$18:$F$18,1,$CH43+1)),IF(INDEX(MHR[Schichtmodell],$CI43)=3,INDEX(LOC[F3S],INDEX(Premises!$A$18:$F$18,1,$CH43+1)),0)))),
IF(OR($T43="M",$T43="U"),INDEX(Premises!$A$21:$F$21,1,$CH43),
IF(OR($T43="F",$T43="S"),INDEX(Premises!$A$22:$F$22,1,$CH43),0)))*100/INDEX(Premises!$A$16:$F$16,1,$CH43))</f>
        <v>11.762499999999999</v>
      </c>
      <c r="V43" s="614">
        <f t="shared" si="96"/>
        <v>1.3069444444444444E-2</v>
      </c>
      <c r="W43" s="393"/>
      <c r="X43" s="386"/>
      <c r="Y43" s="394"/>
      <c r="Z43" s="395"/>
      <c r="AA43" s="611">
        <f t="shared" si="97"/>
        <v>0</v>
      </c>
      <c r="AB43" s="393"/>
      <c r="AC43" s="386"/>
      <c r="AD43" s="394"/>
      <c r="AE43" s="396"/>
      <c r="AF43" s="611">
        <f t="shared" si="98"/>
        <v>0</v>
      </c>
      <c r="AG43" s="612" cm="1">
        <f t="array" ref="AG43">IF(($J43+$V43+$AF43)=0,0,INDEX(Premises!$A$30:$F$30,1,$CH43)/100)</f>
        <v>0.01</v>
      </c>
      <c r="AH43" s="397"/>
      <c r="AI43" s="398"/>
      <c r="AJ43" s="399"/>
      <c r="AK43" s="613">
        <f t="shared" si="99"/>
        <v>0</v>
      </c>
      <c r="AL43" s="614">
        <f t="shared" si="100"/>
        <v>1.868425476686508E-4</v>
      </c>
      <c r="AM43" s="615" cm="1">
        <f t="array" ref="AM43">IF($CI43=0,0,IFERROR(INDEX(MHR[],$CI43,MATCH($CA43,MHR!$B$4:$AY$4,0)+11),0))</f>
        <v>2.7174990484977917</v>
      </c>
      <c r="AN43" s="616" cm="1">
        <f t="array" ref="AN43">IF(($J43+$V43)=0,0,IFERROR(IF(INDEX(Premises!$A$41:$F$41,1,$CH43)&lt;&gt;0,INDEX(Premises!$A$41:$F$41,1,$CH43)/100,(IFERROR(($J43/$I43)*$AM43,0)/($V43+$J43+$R43+$AL43))),0))</f>
        <v>0.14706802851151307</v>
      </c>
      <c r="AO43" s="617">
        <f t="shared" si="101"/>
        <v>3.0194433872197685E-3</v>
      </c>
      <c r="AP43" s="618">
        <f t="shared" si="102"/>
        <v>2.3550373309785461E-2</v>
      </c>
      <c r="AQ43" s="393"/>
      <c r="AR43" s="392"/>
      <c r="AS43" s="619" cm="1">
        <f t="array" ref="AS43">IF($CJ43=0,0,IFERROR(INDEX(MAT[Einheit],$CJ43,1),0))</f>
        <v>0</v>
      </c>
      <c r="AT43" s="620" cm="1">
        <f t="array" ref="AT43">IF($CJ43=0,0,IFERROR(INDEX(MAT[Preis],$CJ43,1),0))</f>
        <v>0</v>
      </c>
      <c r="AU43" s="621">
        <f t="shared" si="103"/>
        <v>0</v>
      </c>
      <c r="AV43" s="622" cm="1">
        <f t="array" ref="AV43">IF($AU43&lt;=0,0,INDEX(Premises!$A$30:$F$30,1,$CH43)/100)</f>
        <v>0</v>
      </c>
      <c r="AW43" s="392"/>
      <c r="AX43" s="614">
        <f t="shared" si="104"/>
        <v>0</v>
      </c>
      <c r="AY43" s="623" cm="1">
        <f t="array" ref="AY43">IF($AT43&lt;=0,0,IFERROR(IF(INDEX(Premises!$A$42:$F$42,1,$CH43)&lt;&gt;0,INDEX(Premises!$A$42:$F$42,1,$CH43)/100,(INDEX(MAT[],$CJ43,MATCH($CA43,MAT!$B$4:$AE$4,0))/($AR43*$CK43*INDEX(Premises!$A$13:$F$13,1,$CH43))+INDEX(MAT[],$CJ43,MATCH($CA43,MAT!$B$4:$AE$4,0)+7))/$AT43),0))</f>
        <v>0</v>
      </c>
      <c r="AZ43" s="614">
        <f t="shared" si="105"/>
        <v>0</v>
      </c>
      <c r="BA43" s="618">
        <f t="shared" si="106"/>
        <v>0</v>
      </c>
      <c r="BB43" s="618">
        <f t="shared" si="107"/>
        <v>2.3550373309785461E-2</v>
      </c>
      <c r="BC43" s="622" cm="1">
        <f t="array" ref="BC43">IF($BB43&lt;=0,0,IF(BC$2=-1,0,INDEX(Premises!$A$32:$F$32,1,$CH43)/100))</f>
        <v>0</v>
      </c>
      <c r="BD43" s="614">
        <f t="shared" si="108"/>
        <v>0</v>
      </c>
      <c r="BE43" s="622" cm="1">
        <f t="array" ref="BE43">IF($BB43&lt;=0,0,IF(BE$2=-1,0,INDEX(Premises!$A$33:$F$33,1,$CH43)/100))</f>
        <v>0</v>
      </c>
      <c r="BF43" s="614">
        <f t="shared" si="109"/>
        <v>0</v>
      </c>
      <c r="BG43" s="622" cm="1">
        <f t="array" ref="BG43">IF($BB43&lt;=0,0,IF(BG$2=-1,0,INDEX(Premises!$A$31:$F$31,1,$CH43)/100))</f>
        <v>0.1</v>
      </c>
      <c r="BH43" s="614">
        <f t="shared" si="110"/>
        <v>2.3363530762116813E-3</v>
      </c>
      <c r="BI43" s="618">
        <f t="shared" si="111"/>
        <v>2.5886726385997143E-2</v>
      </c>
      <c r="BJ43" s="622" cm="1">
        <f t="array" ref="BJ43">IF($BB43&lt;=0,0,IF(BJ$2=-1,0,INDEX(Premises!$A$35:$F$35,1,$CH43)/100))</f>
        <v>0</v>
      </c>
      <c r="BK43" s="614">
        <f t="shared" si="112"/>
        <v>0</v>
      </c>
      <c r="BL43" s="622" cm="1">
        <f t="array" ref="BL43">IF($BB43&lt;=0,0,IF(BL$2=-1,0,INDEX(Premises!$A$36:$F$36,1,$CH43)/100))</f>
        <v>0</v>
      </c>
      <c r="BM43" s="614">
        <f t="shared" si="113"/>
        <v>0</v>
      </c>
      <c r="BN43" s="622" cm="1">
        <f t="array" ref="BN43">IF($BB43&lt;=0,0,IF(BN$2=-1,0,INDEX(Premises!$A$34:$F$34,1,$CH43)/100))</f>
        <v>0.06</v>
      </c>
      <c r="BO43" s="614">
        <f t="shared" si="114"/>
        <v>1.4018118457270086E-3</v>
      </c>
      <c r="BP43" s="622" cm="1">
        <f t="array" ref="BP43">IF($BI43=0,0,INDEX(Premises!$A$37:$F$37,1,$CH43)/100)</f>
        <v>0</v>
      </c>
      <c r="BQ43" s="392"/>
      <c r="BR43" s="614">
        <f t="shared" si="115"/>
        <v>0</v>
      </c>
      <c r="BS43" s="624">
        <f t="shared" si="116"/>
        <v>2.7288538231724151E-2</v>
      </c>
      <c r="BT43" s="624">
        <f t="shared" si="117"/>
        <v>2.7288538231724151E-2</v>
      </c>
      <c r="BU43" s="625">
        <f t="shared" si="118"/>
        <v>1</v>
      </c>
      <c r="BV43" s="1127"/>
      <c r="BW43" s="401"/>
      <c r="BX43" s="401"/>
      <c r="BY43" s="402"/>
      <c r="BZ43" s="946"/>
      <c r="CA43" s="263" cm="1">
        <f t="array" ref="CA43">IF($BZ43&gt;0,VALUE(LEFT($BZ43,IF(ISERROR(FIND("-",$BZ43)),LEN($BZ43),FIND("-",$BZ43)-1))),INDEX($CA$1:$CA43,MAX(1,$CD43)))</f>
        <v>1</v>
      </c>
      <c r="CB43" s="263" cm="1">
        <f t="array" ref="CB43">IF($BT43=0,0,IF(LEN($BZ43)-LEN(SUBSTITUTE($BZ43,"-",""))&gt;1,
VALUE(MID($BZ43,FIND("-",$BZ43)+1,FIND("-",$BZ43,FIND("-",$BZ43)+1)-FIND("-",$BZ43)-1)),IF($BZ43&gt;0,0,INDEX($CB$1:$CB43,MAX(1,$CD43)))))</f>
        <v>0</v>
      </c>
      <c r="CC43" s="263" cm="1">
        <f t="array" ref="CC43">IF($BT43=0,0,IF(NOT(ISERROR(FIND("-",BZ43))),
VALUE(RIGHT($BZ43,LEN($BZ43)-IF(LEN($BZ43)-LEN(SUBSTITUTE($BZ43,"-",""))=1,FIND("-",$BZ43),FIND("-",$BZ43,FIND("-",$BZ43)+1)))),
IF($BZ43&gt;0,0,INDEX($CC$1:$CC43,MAX(1,$CD43)))))</f>
        <v>0</v>
      </c>
      <c r="CD43" s="376">
        <f>MATCH(0,$CE$1:$CE43,-1)</f>
        <v>38</v>
      </c>
      <c r="CE43" s="263"/>
      <c r="CF43" s="377"/>
      <c r="CG43" s="376" cm="1">
        <f t="array" ref="CG43">INDEX($CG$1:$CG43,$CD43)</f>
        <v>6</v>
      </c>
      <c r="CH43" s="263">
        <f>MATCH($CA43,Premises!$A$10:$F$10,0)</f>
        <v>4</v>
      </c>
      <c r="CI43" s="263">
        <f>IF(ISBLANK($E43),0,IFERROR(MATCH($E43,MHR[Bezeichnung],0),0))</f>
        <v>4</v>
      </c>
      <c r="CJ43" s="377">
        <f>IF(ISBLANK($AQ43),0,IFERROR(MATCH($AQ43,MAT[Bezeichnung],0),0))</f>
        <v>0</v>
      </c>
      <c r="CK43" s="263" cm="1">
        <f t="array" ref="CK43">INDEX($D$1:$D43,$CD43)</f>
        <v>1</v>
      </c>
      <c r="CL43" s="263"/>
      <c r="CM43" s="378"/>
      <c r="CN43" s="379" cm="1">
        <f t="array" ref="CN43">IF($CB43=0,0,IF($CB43=INDEX($CB$1:$CB43,$CD43),INDEX($CN$1:$CN43,$CD43),$CP43))</f>
        <v>0</v>
      </c>
      <c r="CO43" s="378"/>
      <c r="CP43" s="379" cm="1">
        <f t="array" ref="CP43">IF($CC43=0,0,INDEX($CP$1:$CP43,$CD43))</f>
        <v>0</v>
      </c>
      <c r="CQ43" s="380"/>
      <c r="CR43" s="381"/>
      <c r="CS43" s="381"/>
      <c r="CT43" s="1132"/>
      <c r="CU43" s="1129"/>
      <c r="CV43" s="630">
        <f t="shared" si="119"/>
        <v>5.6148103224206349E-3</v>
      </c>
      <c r="CW43" s="631">
        <f t="shared" si="120"/>
        <v>1.6598326080319652E-3</v>
      </c>
      <c r="CX43" s="631">
        <f t="shared" si="121"/>
        <v>1.3069444444444444E-2</v>
      </c>
      <c r="CY43" s="631">
        <f t="shared" si="122"/>
        <v>0</v>
      </c>
      <c r="CZ43" s="631">
        <f t="shared" si="123"/>
        <v>0</v>
      </c>
      <c r="DA43" s="631">
        <f t="shared" si="124"/>
        <v>1.868425476686508E-4</v>
      </c>
      <c r="DB43" s="631">
        <f t="shared" si="125"/>
        <v>3.0194433872197685E-3</v>
      </c>
      <c r="DC43" s="632">
        <f t="shared" si="126"/>
        <v>2.3550373309785461E-2</v>
      </c>
      <c r="DD43" s="631">
        <f t="shared" si="127"/>
        <v>0</v>
      </c>
      <c r="DE43" s="631">
        <f t="shared" si="128"/>
        <v>0</v>
      </c>
      <c r="DF43" s="631">
        <f t="shared" si="129"/>
        <v>0</v>
      </c>
      <c r="DG43" s="632">
        <f t="shared" si="130"/>
        <v>0</v>
      </c>
      <c r="DH43" s="632">
        <f t="shared" si="131"/>
        <v>2.3550373309785461E-2</v>
      </c>
      <c r="DI43" s="631">
        <f t="shared" si="132"/>
        <v>0</v>
      </c>
      <c r="DJ43" s="631">
        <f t="shared" si="133"/>
        <v>0</v>
      </c>
      <c r="DK43" s="631">
        <f t="shared" si="134"/>
        <v>2.3363530762116813E-3</v>
      </c>
      <c r="DL43" s="631">
        <f t="shared" si="135"/>
        <v>0</v>
      </c>
      <c r="DM43" s="631">
        <f t="shared" si="136"/>
        <v>0</v>
      </c>
      <c r="DN43" s="631">
        <f t="shared" si="137"/>
        <v>1.4018118457270086E-3</v>
      </c>
      <c r="DO43" s="631">
        <f t="shared" si="138"/>
        <v>0</v>
      </c>
      <c r="DP43" s="634">
        <f t="shared" si="139"/>
        <v>2.7288538231724151E-2</v>
      </c>
      <c r="DQ43" s="929">
        <f>IF($CB43=0,0,$DP43*_xlfn.XLOOKUP($CB43,Premises!$A$10:$F$10,Premises!$A$30:$F$30)/100)</f>
        <v>0</v>
      </c>
      <c r="DR43" s="633">
        <f>IFERROR(SUM($DP43:$DQ43)*IF(INDEX(Premises!$A$42:$F$42,1,MATCH($CB43,Premises!$A$10:$F$10,0))&gt;0,INDEX(Premises!$A$42:$F$42,1,MATCH($CB43,Premises!$A$10:$F$10,0))%,$CN43),0)</f>
        <v>0</v>
      </c>
      <c r="DS43" s="633" cm="1">
        <f t="array" ref="DS43">IF($CB43=0,0,SUM($DP43:$DR43)*_xlfn.XLOOKUP($CB43,Premises!$A$10:$F$10,IF(INDEX(Settings[],MATCH(3001,Settings[ID],0),2)="B",Premises!$A$33:$F$33,Premises!$A$31:$F$31))/100)</f>
        <v>0</v>
      </c>
      <c r="DT43" s="633" cm="1">
        <f t="array" ref="DT43">IF($CB43=0,0,$DP43*_xlfn.XLOOKUP($CB43,Premises!$A$10:$F$10,IF(INDEX(Settings[],MATCH(3002,Settings[ID],0),2)="B",Premises!$A$36:$F$36,Premises!$A$34:$F$34))/100)</f>
        <v>0</v>
      </c>
      <c r="DU43" s="633">
        <f>IF($CB43=0,0,SUM($DP43:$DT43)*_xlfn.XLOOKUP($CB43,Premises!$A$10:$F$10,Premises!$A$37:$F$37)/100)</f>
        <v>0</v>
      </c>
      <c r="DV43" s="932">
        <f t="shared" si="140"/>
        <v>2.7288538231724151E-2</v>
      </c>
      <c r="DW43" s="929">
        <f>IF($CC43=0,0,$DV43*_xlfn.XLOOKUP($CC43,Premises!$A$10:$F$10,Premises!$A$30:$F$30)/100)</f>
        <v>0</v>
      </c>
      <c r="DX43" s="633">
        <f>IFERROR(SUM($DV43:$DW43)*IF(INDEX(Premises!$A$42:$F$42,1,MATCH($CC43,Premises!$A$10:$F$10,0))&gt;0,INDEX(Premises!$A$42:$F$42,1,MATCH($CC43,Premises!$A$10:$F$10,0))%,$CP43),0)</f>
        <v>0</v>
      </c>
      <c r="DY43" s="633" cm="1">
        <f t="array" ref="DY43">IF($CC43=0,0,SUM($DV43:$DX43)*_xlfn.XLOOKUP($CC43,Premises!$A$10:$F$10,IF(INDEX(Settings[],MATCH(3001,Settings[ID],0),2)="B",Premises!$A$33:$F$33,Premises!$A$31:$F$31))/100)</f>
        <v>0</v>
      </c>
      <c r="DZ43" s="633" cm="1">
        <f t="array" ref="DZ43">IF($CC43=0,0,$DV43*_xlfn.XLOOKUP($CC43,Premises!$A$10:$F$10,IF(INDEX(Settings[],MATCH(3002,Settings[ID],0),2)="B",Premises!$A$36:$F$36,Premises!$A$34:$F$34))/100)</f>
        <v>0</v>
      </c>
      <c r="EA43" s="633">
        <f>IF($CC43=0,0,SUM($DV43:$DZ43)*_xlfn.XLOOKUP($CC43,Premises!$A$10:$F$10,Premises!$A$37:$F$37)/100)</f>
        <v>0</v>
      </c>
      <c r="EB43" s="634">
        <f t="shared" si="141"/>
        <v>2.7288538231724151E-2</v>
      </c>
      <c r="EC43" s="783"/>
      <c r="ED43" s="1082"/>
      <c r="EE43" s="633"/>
      <c r="EF43" s="1088"/>
      <c r="EG43" s="1086"/>
      <c r="EH43" s="1086"/>
      <c r="EI43" s="1086"/>
      <c r="EJ43" s="1086"/>
      <c r="EK43" s="1086"/>
      <c r="EL43" s="1086"/>
      <c r="EM43" s="1088"/>
      <c r="EN43" s="1086"/>
      <c r="EO43" s="1086"/>
      <c r="EP43" s="1086"/>
      <c r="EQ43" s="1086"/>
      <c r="ER43" s="1088"/>
      <c r="ES43" s="1086"/>
      <c r="ET43" s="1086"/>
      <c r="EU43" s="1086"/>
      <c r="EV43" s="1086"/>
      <c r="EW43" s="1086"/>
      <c r="EX43" s="1089"/>
      <c r="EY43" s="2"/>
      <c r="EZ43" s="2"/>
      <c r="FA43" s="2"/>
      <c r="FB43" s="2"/>
      <c r="FC43" s="2"/>
      <c r="FD43" s="2"/>
      <c r="FE43" s="2"/>
      <c r="FF43" s="2"/>
      <c r="FG43" s="2"/>
      <c r="FH43" s="2"/>
      <c r="FI43" s="2"/>
      <c r="FJ43" s="403"/>
      <c r="FK43" s="404"/>
      <c r="FL43" s="405"/>
      <c r="FM43" s="1133"/>
    </row>
    <row r="44" spans="1:169" s="13" customFormat="1" ht="12.75" customHeight="1">
      <c r="A44" s="215"/>
      <c r="B44" s="385" t="s">
        <v>4134</v>
      </c>
      <c r="C44" s="386"/>
      <c r="D44" s="629"/>
      <c r="E44" s="387" t="s">
        <v>4145</v>
      </c>
      <c r="F44" s="388">
        <f>3+SUM('E-BOM PCB UI'!I49:I52)*0.1+3+SUM('E-BOM PCB UI'!L49:L52)*0.1</f>
        <v>23.5</v>
      </c>
      <c r="G44" s="388" t="s">
        <v>93</v>
      </c>
      <c r="H44" s="388">
        <v>1</v>
      </c>
      <c r="I44" s="620" cm="1">
        <f t="array" ref="I44">IF($CI44=0,0,IFERROR(INDEX(MHR[],$CI44,MATCH($CA44,MHR!$B$4:$AY$4,0)),0))</f>
        <v>4.6116480654761904</v>
      </c>
      <c r="J44" s="617">
        <f t="shared" si="95"/>
        <v>3.0103813760747358E-2</v>
      </c>
      <c r="K44" s="389" t="s">
        <v>49</v>
      </c>
      <c r="L44" s="390">
        <v>15</v>
      </c>
      <c r="M44" s="849">
        <v>1</v>
      </c>
      <c r="N44" s="390"/>
      <c r="O44" s="388"/>
      <c r="P44" s="628">
        <v>3334</v>
      </c>
      <c r="Q44" s="620">
        <v>16.537500000000001</v>
      </c>
      <c r="R44" s="617">
        <v>1.6329248659196734E-3</v>
      </c>
      <c r="S44" s="391">
        <v>1</v>
      </c>
      <c r="T44" s="392" t="s">
        <v>275</v>
      </c>
      <c r="U44" s="620" cm="1">
        <f t="array" ref="U44">IF(COUNTBLANK($S44:$T44),0,
IF(AND(INDEX(MHR[Schichtmodell],$CI44)&lt;&gt;0,INDEX(MHR[Schichtmodell],$CI44)&lt;&gt;INDEX(Premises!$A$20:$F$20,1,$CH44)),ExchangeRate*
IF(OR($T44="M",$T44="U"),IF(INDEX(MHR[Schichtmodell],$CI44)=1,INDEX(LOC[M1S],INDEX(Premises!$A$18:$F$18,1,$CH44+1)),IF(INDEX(MHR[Schichtmodell],$CI44)=2,INDEX(LOC[M2S],INDEX(Premises!$A$18:$F$18,1,$CH44+1),IF(INDEX(MHR[Schichtmodell],$CI44)=3,INDEX(LOC[M3S],INDEX(Premises!$A$18:$F$18,1,$CH44+1)),0)))),
IF(INDEX(MHR[Schichtmodell],$CI44)=1,INDEX(LOC[F1S],INDEX(Premises!$A$18:$F$18,1,$CH44+1)),IF(INDEX(MHR[Schichtmodell],$CI44)=2,INDEX(LOC[F2S],INDEX(Premises!$A$18:$F$18,1,$CH44+1)),IF(INDEX(MHR[Schichtmodell],$CI44)=3,INDEX(LOC[F3S],INDEX(Premises!$A$18:$F$18,1,$CH44+1)),0)))),
IF(OR($T44="M",$T44="U"),INDEX(Premises!$A$21:$F$21,1,$CH44),
IF(OR($T44="F",$T44="S"),INDEX(Premises!$A$22:$F$22,1,$CH44),0)))*100/INDEX(Premises!$A$16:$F$16,1,$CH44))</f>
        <v>11.762499999999999</v>
      </c>
      <c r="V44" s="614">
        <f t="shared" si="96"/>
        <v>7.6782986111111118E-2</v>
      </c>
      <c r="W44" s="393"/>
      <c r="X44" s="386"/>
      <c r="Y44" s="394"/>
      <c r="Z44" s="395"/>
      <c r="AA44" s="611">
        <f t="shared" si="97"/>
        <v>0</v>
      </c>
      <c r="AB44" s="393"/>
      <c r="AC44" s="386"/>
      <c r="AD44" s="394"/>
      <c r="AE44" s="396"/>
      <c r="AF44" s="611">
        <f t="shared" si="98"/>
        <v>0</v>
      </c>
      <c r="AG44" s="612" cm="1">
        <f t="array" ref="AG44">IF(($J44+$V44+$AF44)=0,0,INDEX(Premises!$A$30:$F$30,1,$CH44)/100)</f>
        <v>0.01</v>
      </c>
      <c r="AH44" s="397"/>
      <c r="AI44" s="398"/>
      <c r="AJ44" s="399"/>
      <c r="AK44" s="613">
        <f t="shared" si="99"/>
        <v>0</v>
      </c>
      <c r="AL44" s="614">
        <f t="shared" si="100"/>
        <v>1.0688679987185849E-3</v>
      </c>
      <c r="AM44" s="615" cm="1">
        <f t="array" ref="AM44">IF($CI44=0,0,IFERROR(INDEX(MHR[],$CI44,MATCH($CA44,MHR!$B$4:$AY$4,0)+11),0))</f>
        <v>1.6754851596089027</v>
      </c>
      <c r="AN44" s="616" cm="1">
        <f t="array" ref="AN44">IF(($J44+$V44)=0,0,IFERROR(IF(INDEX(Premises!$A$41:$F$41,1,$CH44)&lt;&gt;0,INDEX(Premises!$A$41:$F$41,1,$CH44)/100,(IFERROR(($J44/$I44)*$AM44,0)/($V44+$J44+$R44+$AL44))),0))</f>
        <v>9.980231079515442E-2</v>
      </c>
      <c r="AO44" s="617">
        <f t="shared" si="101"/>
        <v>1.0937194791891449E-2</v>
      </c>
      <c r="AP44" s="618">
        <f t="shared" si="102"/>
        <v>0.12052578752838819</v>
      </c>
      <c r="AQ44" s="393"/>
      <c r="AR44" s="392"/>
      <c r="AS44" s="619" cm="1">
        <f t="array" ref="AS44">IF($CJ44=0,0,IFERROR(INDEX(MAT[Einheit],$CJ44,1),0))</f>
        <v>0</v>
      </c>
      <c r="AT44" s="620" cm="1">
        <f t="array" ref="AT44">IF($CJ44=0,0,IFERROR(INDEX(MAT[Preis],$CJ44,1),0))</f>
        <v>0</v>
      </c>
      <c r="AU44" s="621">
        <f t="shared" si="103"/>
        <v>0</v>
      </c>
      <c r="AV44" s="622" cm="1">
        <f t="array" ref="AV44">IF($AU44&lt;=0,0,INDEX(Premises!$A$30:$F$30,1,$CH44)/100)</f>
        <v>0</v>
      </c>
      <c r="AW44" s="392"/>
      <c r="AX44" s="614">
        <f t="shared" si="104"/>
        <v>0</v>
      </c>
      <c r="AY44" s="623" cm="1">
        <f t="array" ref="AY44">IF($AT44&lt;=0,0,IFERROR(IF(INDEX(Premises!$A$42:$F$42,1,$CH44)&lt;&gt;0,INDEX(Premises!$A$42:$F$42,1,$CH44)/100,(INDEX(MAT[],$CJ44,MATCH($CA44,MAT!$B$4:$AE$4,0))/($AR44*$CK44*INDEX(Premises!$A$13:$F$13,1,$CH44))+INDEX(MAT[],$CJ44,MATCH($CA44,MAT!$B$4:$AE$4,0)+7))/$AT44),0))</f>
        <v>0</v>
      </c>
      <c r="AZ44" s="614">
        <f t="shared" si="105"/>
        <v>0</v>
      </c>
      <c r="BA44" s="618">
        <f t="shared" si="106"/>
        <v>0</v>
      </c>
      <c r="BB44" s="618">
        <f t="shared" si="107"/>
        <v>0.12052578752838819</v>
      </c>
      <c r="BC44" s="622" cm="1">
        <f t="array" ref="BC44">IF($BB44&lt;=0,0,IF(BC$2=-1,0,INDEX(Premises!$A$32:$F$32,1,$CH44)/100))</f>
        <v>0</v>
      </c>
      <c r="BD44" s="614">
        <f t="shared" si="108"/>
        <v>0</v>
      </c>
      <c r="BE44" s="622" cm="1">
        <f t="array" ref="BE44">IF($BB44&lt;=0,0,IF(BE$2=-1,0,INDEX(Premises!$A$33:$F$33,1,$CH44)/100))</f>
        <v>0</v>
      </c>
      <c r="BF44" s="614">
        <f t="shared" si="109"/>
        <v>0</v>
      </c>
      <c r="BG44" s="622" cm="1">
        <f t="array" ref="BG44">IF($BB44&lt;=0,0,IF(BG$2=-1,0,INDEX(Premises!$A$31:$F$31,1,$CH44)/100))</f>
        <v>0.1</v>
      </c>
      <c r="BH44" s="614">
        <f t="shared" si="110"/>
        <v>1.1945691952966962E-2</v>
      </c>
      <c r="BI44" s="618">
        <f t="shared" si="111"/>
        <v>0.13247147948135515</v>
      </c>
      <c r="BJ44" s="622" cm="1">
        <f t="array" ref="BJ44">IF($BB44&lt;=0,0,IF(BJ$2=-1,0,INDEX(Premises!$A$35:$F$35,1,$CH44)/100))</f>
        <v>0</v>
      </c>
      <c r="BK44" s="614">
        <f t="shared" si="112"/>
        <v>0</v>
      </c>
      <c r="BL44" s="622" cm="1">
        <f t="array" ref="BL44">IF($BB44&lt;=0,0,IF(BL$2=-1,0,INDEX(Premises!$A$36:$F$36,1,$CH44)/100))</f>
        <v>0</v>
      </c>
      <c r="BM44" s="614">
        <f t="shared" si="113"/>
        <v>0</v>
      </c>
      <c r="BN44" s="622" cm="1">
        <f t="array" ref="BN44">IF($BB44&lt;=0,0,IF(BN$2=-1,0,INDEX(Premises!$A$34:$F$34,1,$CH44)/100))</f>
        <v>0.06</v>
      </c>
      <c r="BO44" s="614">
        <f t="shared" si="114"/>
        <v>7.1674151717801759E-3</v>
      </c>
      <c r="BP44" s="622" cm="1">
        <f t="array" ref="BP44">IF($BI44=0,0,INDEX(Premises!$A$37:$F$37,1,$CH44)/100)</f>
        <v>0</v>
      </c>
      <c r="BQ44" s="392"/>
      <c r="BR44" s="614">
        <f t="shared" si="115"/>
        <v>0</v>
      </c>
      <c r="BS44" s="624">
        <f t="shared" si="116"/>
        <v>0.13963889465313534</v>
      </c>
      <c r="BT44" s="624">
        <f t="shared" si="117"/>
        <v>0.13963889465313534</v>
      </c>
      <c r="BU44" s="625">
        <f t="shared" si="118"/>
        <v>1</v>
      </c>
      <c r="BV44" s="400"/>
      <c r="BW44" s="401"/>
      <c r="BX44" s="401"/>
      <c r="BY44" s="402"/>
      <c r="BZ44" s="946"/>
      <c r="CA44" s="263" cm="1">
        <f t="array" ref="CA44">IF($BZ44&gt;0,VALUE(LEFT($BZ44,IF(ISERROR(FIND("-",$BZ44)),LEN($BZ44),FIND("-",$BZ44)-1))),INDEX($CA$1:$CA44,MAX(1,$CD44)))</f>
        <v>1</v>
      </c>
      <c r="CB44" s="263" cm="1">
        <f t="array" ref="CB44">IF($BT44=0,0,IF(LEN($BZ44)-LEN(SUBSTITUTE($BZ44,"-",""))&gt;1,
VALUE(MID($BZ44,FIND("-",$BZ44)+1,FIND("-",$BZ44,FIND("-",$BZ44)+1)-FIND("-",$BZ44)-1)),IF($BZ44&gt;0,0,INDEX($CB$1:$CB44,MAX(1,$CD44)))))</f>
        <v>0</v>
      </c>
      <c r="CC44" s="263" cm="1">
        <f t="array" ref="CC44">IF($BT44=0,0,IF(NOT(ISERROR(FIND("-",BZ44))),
VALUE(RIGHT($BZ44,LEN($BZ44)-IF(LEN($BZ44)-LEN(SUBSTITUTE($BZ44,"-",""))=1,FIND("-",$BZ44),FIND("-",$BZ44,FIND("-",$BZ44)+1)))),
IF($BZ44&gt;0,0,INDEX($CC$1:$CC44,MAX(1,$CD44)))))</f>
        <v>0</v>
      </c>
      <c r="CD44" s="376">
        <f>MATCH(0,$CE$1:$CE44,-1)</f>
        <v>38</v>
      </c>
      <c r="CE44" s="263"/>
      <c r="CF44" s="377"/>
      <c r="CG44" s="376" cm="1">
        <f t="array" ref="CG44">INDEX($CG$1:$CG44,$CD44)</f>
        <v>6</v>
      </c>
      <c r="CH44" s="263">
        <f>MATCH($CA44,Premises!$A$10:$F$10,0)</f>
        <v>4</v>
      </c>
      <c r="CI44" s="263">
        <f>IF(ISBLANK($E44),0,IFERROR(MATCH($E44,MHR[Bezeichnung],0),0))</f>
        <v>5</v>
      </c>
      <c r="CJ44" s="377">
        <f>IF(ISBLANK($AQ44),0,IFERROR(MATCH($AQ44,MAT[Bezeichnung],0),0))</f>
        <v>0</v>
      </c>
      <c r="CK44" s="263" cm="1">
        <f t="array" ref="CK44">INDEX($D$1:$D44,$CD44)</f>
        <v>1</v>
      </c>
      <c r="CL44" s="263"/>
      <c r="CM44" s="378"/>
      <c r="CN44" s="379" cm="1">
        <f t="array" ref="CN44">IF($CB44=0,0,IF($CB44=INDEX($CB$1:$CB44,$CD44),INDEX($CN$1:$CN44,$CD44),$CP44))</f>
        <v>0</v>
      </c>
      <c r="CO44" s="378"/>
      <c r="CP44" s="379" cm="1">
        <f t="array" ref="CP44">IF($CC44=0,0,INDEX($CP$1:$CP44,$CD44))</f>
        <v>0</v>
      </c>
      <c r="CQ44" s="380"/>
      <c r="CR44" s="381"/>
      <c r="CS44" s="381"/>
      <c r="CT44" s="948"/>
      <c r="CU44" s="2"/>
      <c r="CV44" s="630">
        <f t="shared" si="119"/>
        <v>3.0103813760747358E-2</v>
      </c>
      <c r="CW44" s="631">
        <f t="shared" si="120"/>
        <v>1.6329248659196734E-3</v>
      </c>
      <c r="CX44" s="631">
        <f t="shared" si="121"/>
        <v>7.6782986111111118E-2</v>
      </c>
      <c r="CY44" s="631">
        <f t="shared" si="122"/>
        <v>0</v>
      </c>
      <c r="CZ44" s="631">
        <f t="shared" si="123"/>
        <v>0</v>
      </c>
      <c r="DA44" s="631">
        <f t="shared" si="124"/>
        <v>1.0688679987185849E-3</v>
      </c>
      <c r="DB44" s="631">
        <f t="shared" si="125"/>
        <v>1.0937194791891449E-2</v>
      </c>
      <c r="DC44" s="632">
        <f t="shared" si="126"/>
        <v>0.12052578752838819</v>
      </c>
      <c r="DD44" s="631">
        <f t="shared" si="127"/>
        <v>0</v>
      </c>
      <c r="DE44" s="631">
        <f t="shared" si="128"/>
        <v>0</v>
      </c>
      <c r="DF44" s="631">
        <f t="shared" si="129"/>
        <v>0</v>
      </c>
      <c r="DG44" s="632">
        <f t="shared" si="130"/>
        <v>0</v>
      </c>
      <c r="DH44" s="632">
        <f t="shared" si="131"/>
        <v>0.12052578752838819</v>
      </c>
      <c r="DI44" s="631">
        <f t="shared" si="132"/>
        <v>0</v>
      </c>
      <c r="DJ44" s="631">
        <f t="shared" si="133"/>
        <v>0</v>
      </c>
      <c r="DK44" s="631">
        <f t="shared" si="134"/>
        <v>1.1945691952966962E-2</v>
      </c>
      <c r="DL44" s="631">
        <f t="shared" si="135"/>
        <v>0</v>
      </c>
      <c r="DM44" s="631">
        <f t="shared" si="136"/>
        <v>0</v>
      </c>
      <c r="DN44" s="631">
        <f t="shared" si="137"/>
        <v>7.1674151717801759E-3</v>
      </c>
      <c r="DO44" s="631">
        <f t="shared" si="138"/>
        <v>0</v>
      </c>
      <c r="DP44" s="634">
        <f t="shared" si="139"/>
        <v>0.13963889465313534</v>
      </c>
      <c r="DQ44" s="929">
        <f>IF($CB44=0,0,$DP44*_xlfn.XLOOKUP($CB44,Premises!$A$10:$F$10,Premises!$A$30:$F$30)/100)</f>
        <v>0</v>
      </c>
      <c r="DR44" s="633">
        <f>IFERROR(SUM($DP44:$DQ44)*IF(INDEX(Premises!$A$42:$F$42,1,MATCH($CB44,Premises!$A$10:$F$10,0))&gt;0,INDEX(Premises!$A$42:$F$42,1,MATCH($CB44,Premises!$A$10:$F$10,0))%,$CN44),0)</f>
        <v>0</v>
      </c>
      <c r="DS44" s="633" cm="1">
        <f t="array" ref="DS44">IF($CB44=0,0,SUM($DP44:$DR44)*_xlfn.XLOOKUP($CB44,Premises!$A$10:$F$10,IF(INDEX(Settings[],MATCH(3001,Settings[ID],0),2)="B",Premises!$A$33:$F$33,Premises!$A$31:$F$31))/100)</f>
        <v>0</v>
      </c>
      <c r="DT44" s="633" cm="1">
        <f t="array" ref="DT44">IF($CB44=0,0,$DP44*_xlfn.XLOOKUP($CB44,Premises!$A$10:$F$10,IF(INDEX(Settings[],MATCH(3002,Settings[ID],0),2)="B",Premises!$A$36:$F$36,Premises!$A$34:$F$34))/100)</f>
        <v>0</v>
      </c>
      <c r="DU44" s="633">
        <f>IF($CB44=0,0,SUM($DP44:$DT44)*_xlfn.XLOOKUP($CB44,Premises!$A$10:$F$10,Premises!$A$37:$F$37)/100)</f>
        <v>0</v>
      </c>
      <c r="DV44" s="932">
        <f t="shared" si="140"/>
        <v>0.13963889465313534</v>
      </c>
      <c r="DW44" s="929">
        <f>IF($CC44=0,0,$DV44*_xlfn.XLOOKUP($CC44,Premises!$A$10:$F$10,Premises!$A$30:$F$30)/100)</f>
        <v>0</v>
      </c>
      <c r="DX44" s="633">
        <f>IFERROR(SUM($DV44:$DW44)*IF(INDEX(Premises!$A$42:$F$42,1,MATCH($CC44,Premises!$A$10:$F$10,0))&gt;0,INDEX(Premises!$A$42:$F$42,1,MATCH($CC44,Premises!$A$10:$F$10,0))%,$CP44),0)</f>
        <v>0</v>
      </c>
      <c r="DY44" s="633" cm="1">
        <f t="array" ref="DY44">IF($CC44=0,0,SUM($DV44:$DX44)*_xlfn.XLOOKUP($CC44,Premises!$A$10:$F$10,IF(INDEX(Settings[],MATCH(3001,Settings[ID],0),2)="B",Premises!$A$33:$F$33,Premises!$A$31:$F$31))/100)</f>
        <v>0</v>
      </c>
      <c r="DZ44" s="633" cm="1">
        <f t="array" ref="DZ44">IF($CC44=0,0,$DV44*_xlfn.XLOOKUP($CC44,Premises!$A$10:$F$10,IF(INDEX(Settings[],MATCH(3002,Settings[ID],0),2)="B",Premises!$A$36:$F$36,Premises!$A$34:$F$34))/100)</f>
        <v>0</v>
      </c>
      <c r="EA44" s="633">
        <f>IF($CC44=0,0,SUM($DV44:$DZ44)*_xlfn.XLOOKUP($CC44,Premises!$A$10:$F$10,Premises!$A$37:$F$37)/100)</f>
        <v>0</v>
      </c>
      <c r="EB44" s="634">
        <f t="shared" si="141"/>
        <v>0.13963889465313534</v>
      </c>
      <c r="EC44" s="783"/>
      <c r="ED44" s="1082"/>
      <c r="EE44" s="633"/>
      <c r="EF44" s="1088"/>
      <c r="EG44" s="1086"/>
      <c r="EH44" s="1086"/>
      <c r="EI44" s="1086"/>
      <c r="EJ44" s="1086"/>
      <c r="EK44" s="1086"/>
      <c r="EL44" s="1086"/>
      <c r="EM44" s="1088"/>
      <c r="EN44" s="1086"/>
      <c r="EO44" s="1086"/>
      <c r="EP44" s="1086"/>
      <c r="EQ44" s="1086"/>
      <c r="ER44" s="1088"/>
      <c r="ES44" s="1086"/>
      <c r="ET44" s="1086"/>
      <c r="EU44" s="1086"/>
      <c r="EV44" s="1086"/>
      <c r="EW44" s="1086"/>
      <c r="EX44" s="1089"/>
      <c r="EY44" s="2"/>
      <c r="EZ44" s="2"/>
      <c r="FA44" s="2"/>
      <c r="FB44" s="2"/>
      <c r="FC44" s="2"/>
      <c r="FD44" s="2"/>
      <c r="FE44" s="2"/>
      <c r="FF44" s="2"/>
      <c r="FG44" s="2"/>
      <c r="FH44" s="2"/>
      <c r="FI44" s="2"/>
      <c r="FJ44" s="403"/>
      <c r="FK44" s="404"/>
      <c r="FL44" s="405"/>
      <c r="FM44" s="948"/>
    </row>
    <row r="45" spans="1:169" s="13" customFormat="1" ht="12.75" customHeight="1">
      <c r="A45" s="215"/>
      <c r="B45" s="385"/>
      <c r="C45" s="386"/>
      <c r="D45" s="629"/>
      <c r="E45" s="387"/>
      <c r="F45" s="388"/>
      <c r="G45" s="388"/>
      <c r="H45" s="388"/>
      <c r="I45" s="620" cm="1">
        <f t="array" ref="I45">IF($CI45=0,0,IFERROR(INDEX(MHR[],$CI45,MATCH($CA45,MHR!$B$4:$AY$4,0)),0))</f>
        <v>0</v>
      </c>
      <c r="J45" s="617">
        <f t="shared" si="95"/>
        <v>0</v>
      </c>
      <c r="K45" s="389"/>
      <c r="L45" s="390"/>
      <c r="M45" s="849"/>
      <c r="N45" s="390"/>
      <c r="O45" s="388"/>
      <c r="P45" s="628" cm="1">
        <f t="array" ref="P45">IF($K45=0,0,IFERROR(ROUNDUP(IF(ISNUMBER($K45),$K45,INDEX($D$1:$D45,$CD45)*INDEX(Premises!$A$13:$F$13,1,$CH45)/IF(OR($K45="T",$K45="D"),250,IF($K45="W",50,IF($K45="M",12,IF(OR($K45="HJ",$K45="HY"),2,IF(OR($K45="J",$K45="Y"),1,0)))))),0),0))</f>
        <v>0</v>
      </c>
      <c r="Q45" s="620" cm="1">
        <f t="array" ref="Q45">IF($K45=0,0,IFERROR(INDEX(Premises!$A$22:$F$22,1,$CH45)*100/INDEX(Premises!$A$16:$F$16,1,$CH45),0))</f>
        <v>0</v>
      </c>
      <c r="R45" s="617">
        <f>IF($P45=0,0,IFERROR(($L45/60*($I45+$Q45*$M45)+($N45/60*($Q45*$O45)))/$P45,0))</f>
        <v>0</v>
      </c>
      <c r="S45" s="391"/>
      <c r="T45" s="392"/>
      <c r="U45" s="620" cm="1">
        <f t="array" ref="U45">IF(COUNTBLANK($S45:$T45),0,
IF(AND(INDEX(MHR[Schichtmodell],$CI45)&lt;&gt;0,INDEX(MHR[Schichtmodell],$CI45)&lt;&gt;INDEX(Premises!$A$20:$F$20,1,$CH45)),ExchangeRate*
IF(OR($T45="M",$T45="U"),IF(INDEX(MHR[Schichtmodell],$CI45)=1,INDEX(LOC[M1S],INDEX(Premises!$A$18:$F$18,1,$CH45+1)),IF(INDEX(MHR[Schichtmodell],$CI45)=2,INDEX(LOC[M2S],INDEX(Premises!$A$18:$F$18,1,$CH45+1),IF(INDEX(MHR[Schichtmodell],$CI45)=3,INDEX(LOC[M3S],INDEX(Premises!$A$18:$F$18,1,$CH45+1)),0)))),
IF(INDEX(MHR[Schichtmodell],$CI45)=1,INDEX(LOC[F1S],INDEX(Premises!$A$18:$F$18,1,$CH45+1)),IF(INDEX(MHR[Schichtmodell],$CI45)=2,INDEX(LOC[F2S],INDEX(Premises!$A$18:$F$18,1,$CH45+1)),IF(INDEX(MHR[Schichtmodell],$CI45)=3,INDEX(LOC[F3S],INDEX(Premises!$A$18:$F$18,1,$CH45+1)),0)))),
IF(OR($T45="M",$T45="U"),INDEX(Premises!$A$21:$F$21,1,$CH45),
IF(OR($T45="F",$T45="S"),INDEX(Premises!$A$22:$F$22,1,$CH45),0)))*100/INDEX(Premises!$A$16:$F$16,1,$CH45))</f>
        <v>0</v>
      </c>
      <c r="V45" s="614">
        <f t="shared" si="96"/>
        <v>0</v>
      </c>
      <c r="W45" s="393"/>
      <c r="X45" s="386"/>
      <c r="Y45" s="394"/>
      <c r="Z45" s="395"/>
      <c r="AA45" s="611">
        <f t="shared" si="97"/>
        <v>0</v>
      </c>
      <c r="AB45" s="393"/>
      <c r="AC45" s="386"/>
      <c r="AD45" s="394"/>
      <c r="AE45" s="396"/>
      <c r="AF45" s="611">
        <f t="shared" si="98"/>
        <v>0</v>
      </c>
      <c r="AG45" s="612" cm="1">
        <f t="array" ref="AG45">IF(($J45+$V45+$AF45)=0,0,INDEX(Premises!$A$30:$F$30,1,$CH45)/100)</f>
        <v>0</v>
      </c>
      <c r="AH45" s="397"/>
      <c r="AI45" s="398"/>
      <c r="AJ45" s="399"/>
      <c r="AK45" s="613">
        <f t="shared" si="99"/>
        <v>0</v>
      </c>
      <c r="AL45" s="614">
        <f t="shared" si="100"/>
        <v>0</v>
      </c>
      <c r="AM45" s="615" cm="1">
        <f t="array" ref="AM45">IF($CI45=0,0,IFERROR(INDEX(MHR[],$CI45,MATCH($CA45,MHR!$B$4:$AY$4,0)+11),0))</f>
        <v>0</v>
      </c>
      <c r="AN45" s="616" cm="1">
        <f t="array" ref="AN45">IF(($J45+$V45)=0,0,IFERROR(IF(INDEX(Premises!$A$41:$F$41,1,$CH45)&lt;&gt;0,INDEX(Premises!$A$41:$F$41,1,$CH45)/100,(IFERROR(($J45/$I45)*$AM45,0)/($V45+$J45+$R45+$AL45))),0))</f>
        <v>0</v>
      </c>
      <c r="AO45" s="617">
        <f t="shared" si="101"/>
        <v>0</v>
      </c>
      <c r="AP45" s="618">
        <f t="shared" si="102"/>
        <v>0</v>
      </c>
      <c r="AQ45" s="393"/>
      <c r="AR45" s="392"/>
      <c r="AS45" s="619" cm="1">
        <f t="array" ref="AS45">IF($CJ45=0,0,IFERROR(INDEX(MAT[Einheit],$CJ45,1),0))</f>
        <v>0</v>
      </c>
      <c r="AT45" s="620" cm="1">
        <f t="array" ref="AT45">IF($CJ45=0,0,IFERROR(INDEX(MAT[Preis],$CJ45,1),0))</f>
        <v>0</v>
      </c>
      <c r="AU45" s="621">
        <f t="shared" si="103"/>
        <v>0</v>
      </c>
      <c r="AV45" s="622" cm="1">
        <f t="array" ref="AV45">IF($AU45&lt;=0,0,INDEX(Premises!$A$30:$F$30,1,$CH45)/100)</f>
        <v>0</v>
      </c>
      <c r="AW45" s="392"/>
      <c r="AX45" s="614">
        <f t="shared" si="104"/>
        <v>0</v>
      </c>
      <c r="AY45" s="623" cm="1">
        <f t="array" ref="AY45">IF($AT45&lt;=0,0,IFERROR(IF(INDEX(Premises!$A$42:$F$42,1,$CH45)&lt;&gt;0,INDEX(Premises!$A$42:$F$42,1,$CH45)/100,(INDEX(MAT[],$CJ45,MATCH($CA45,MAT!$B$4:$AE$4,0))/($AR45*$CK45*INDEX(Premises!$A$13:$F$13,1,$CH45))+INDEX(MAT[],$CJ45,MATCH($CA45,MAT!$B$4:$AE$4,0)+7))/$AT45),0))</f>
        <v>0</v>
      </c>
      <c r="AZ45" s="614">
        <f t="shared" si="105"/>
        <v>0</v>
      </c>
      <c r="BA45" s="618">
        <f t="shared" si="106"/>
        <v>0</v>
      </c>
      <c r="BB45" s="618">
        <f t="shared" si="107"/>
        <v>0</v>
      </c>
      <c r="BC45" s="622" cm="1">
        <f t="array" ref="BC45">IF($BB45&lt;=0,0,IF(BC$2=-1,0,INDEX(Premises!$A$32:$F$32,1,$CH45)/100))</f>
        <v>0</v>
      </c>
      <c r="BD45" s="614">
        <f t="shared" si="108"/>
        <v>0</v>
      </c>
      <c r="BE45" s="622" cm="1">
        <f t="array" ref="BE45">IF($BB45&lt;=0,0,IF(BE$2=-1,0,INDEX(Premises!$A$33:$F$33,1,$CH45)/100))</f>
        <v>0</v>
      </c>
      <c r="BF45" s="614">
        <f t="shared" si="109"/>
        <v>0</v>
      </c>
      <c r="BG45" s="622" cm="1">
        <f t="array" ref="BG45">IF($BB45&lt;=0,0,IF(BG$2=-1,0,INDEX(Premises!$A$31:$F$31,1,$CH45)/100))</f>
        <v>0</v>
      </c>
      <c r="BH45" s="614">
        <f t="shared" si="110"/>
        <v>0</v>
      </c>
      <c r="BI45" s="618">
        <f t="shared" si="111"/>
        <v>0</v>
      </c>
      <c r="BJ45" s="622" cm="1">
        <f t="array" ref="BJ45">IF($BB45&lt;=0,0,IF(BJ$2=-1,0,INDEX(Premises!$A$35:$F$35,1,$CH45)/100))</f>
        <v>0</v>
      </c>
      <c r="BK45" s="614">
        <f t="shared" si="112"/>
        <v>0</v>
      </c>
      <c r="BL45" s="622" cm="1">
        <f t="array" ref="BL45">IF($BB45&lt;=0,0,IF(BL$2=-1,0,INDEX(Premises!$A$36:$F$36,1,$CH45)/100))</f>
        <v>0</v>
      </c>
      <c r="BM45" s="614">
        <f t="shared" si="113"/>
        <v>0</v>
      </c>
      <c r="BN45" s="622" cm="1">
        <f t="array" ref="BN45">IF($BB45&lt;=0,0,IF(BN$2=-1,0,INDEX(Premises!$A$34:$F$34,1,$CH45)/100))</f>
        <v>0</v>
      </c>
      <c r="BO45" s="614">
        <f t="shared" si="114"/>
        <v>0</v>
      </c>
      <c r="BP45" s="622" cm="1">
        <f t="array" ref="BP45">IF($BI45=0,0,INDEX(Premises!$A$37:$F$37,1,$CH45)/100)</f>
        <v>0</v>
      </c>
      <c r="BQ45" s="392"/>
      <c r="BR45" s="614">
        <f t="shared" si="115"/>
        <v>0</v>
      </c>
      <c r="BS45" s="624">
        <f t="shared" si="116"/>
        <v>0</v>
      </c>
      <c r="BT45" s="624">
        <f t="shared" si="117"/>
        <v>0</v>
      </c>
      <c r="BU45" s="625">
        <f t="shared" si="118"/>
        <v>0</v>
      </c>
      <c r="BV45" s="1127"/>
      <c r="BW45" s="401"/>
      <c r="BX45" s="401"/>
      <c r="BY45" s="402"/>
      <c r="BZ45" s="946"/>
      <c r="CA45" s="263" cm="1">
        <f t="array" ref="CA45">IF($BZ45&gt;0,VALUE(LEFT($BZ45,IF(ISERROR(FIND("-",$BZ45)),LEN($BZ45),FIND("-",$BZ45)-1))),INDEX($CA$1:$CA45,MAX(1,$CD45)))</f>
        <v>1</v>
      </c>
      <c r="CB45" s="263" cm="1">
        <f t="array" ref="CB45">IF($BT45=0,0,IF(LEN($BZ45)-LEN(SUBSTITUTE($BZ45,"-",""))&gt;1,
VALUE(MID($BZ45,FIND("-",$BZ45)+1,FIND("-",$BZ45,FIND("-",$BZ45)+1)-FIND("-",$BZ45)-1)),IF($BZ45&gt;0,0,INDEX($CB$1:$CB45,MAX(1,$CD45)))))</f>
        <v>0</v>
      </c>
      <c r="CC45" s="263" cm="1">
        <f t="array" ref="CC45">IF($BT45=0,0,IF(NOT(ISERROR(FIND("-",BZ45))),
VALUE(RIGHT($BZ45,LEN($BZ45)-IF(LEN($BZ45)-LEN(SUBSTITUTE($BZ45,"-",""))=1,FIND("-",$BZ45),FIND("-",$BZ45,FIND("-",$BZ45)+1)))),
IF($BZ45&gt;0,0,INDEX($CC$1:$CC45,MAX(1,$CD45)))))</f>
        <v>0</v>
      </c>
      <c r="CD45" s="376">
        <f>MATCH(0,$CE$1:$CE45,-1)</f>
        <v>38</v>
      </c>
      <c r="CE45" s="263"/>
      <c r="CF45" s="377"/>
      <c r="CG45" s="376" cm="1">
        <f t="array" ref="CG45">INDEX($CG$1:$CG45,$CD45)</f>
        <v>6</v>
      </c>
      <c r="CH45" s="263">
        <f>MATCH($CA45,Premises!$A$10:$F$10,0)</f>
        <v>4</v>
      </c>
      <c r="CI45" s="263">
        <f>IF(ISBLANK($E45),0,IFERROR(MATCH($E45,MHR[Bezeichnung],0),0))</f>
        <v>0</v>
      </c>
      <c r="CJ45" s="377">
        <f>IF(ISBLANK($AQ45),0,IFERROR(MATCH($AQ45,MAT[Bezeichnung],0),0))</f>
        <v>0</v>
      </c>
      <c r="CK45" s="263" cm="1">
        <f t="array" ref="CK45">INDEX($D$1:$D45,$CD45)</f>
        <v>1</v>
      </c>
      <c r="CL45" s="263"/>
      <c r="CM45" s="378"/>
      <c r="CN45" s="379" cm="1">
        <f t="array" ref="CN45">IF($CB45=0,0,IF($CB45=INDEX($CB$1:$CB45,$CD45),INDEX($CN$1:$CN45,$CD45),$CP45))</f>
        <v>0</v>
      </c>
      <c r="CO45" s="378"/>
      <c r="CP45" s="379" cm="1">
        <f t="array" ref="CP45">IF($CC45=0,0,INDEX($CP$1:$CP45,$CD45))</f>
        <v>0</v>
      </c>
      <c r="CQ45" s="380"/>
      <c r="CR45" s="381"/>
      <c r="CS45" s="381"/>
      <c r="CT45" s="1132"/>
      <c r="CU45" s="1129"/>
      <c r="CV45" s="630">
        <f t="shared" si="119"/>
        <v>0</v>
      </c>
      <c r="CW45" s="631">
        <f t="shared" si="120"/>
        <v>0</v>
      </c>
      <c r="CX45" s="631">
        <f t="shared" si="121"/>
        <v>0</v>
      </c>
      <c r="CY45" s="631">
        <f t="shared" si="122"/>
        <v>0</v>
      </c>
      <c r="CZ45" s="631">
        <f t="shared" si="123"/>
        <v>0</v>
      </c>
      <c r="DA45" s="631">
        <f t="shared" si="124"/>
        <v>0</v>
      </c>
      <c r="DB45" s="631">
        <f t="shared" si="125"/>
        <v>0</v>
      </c>
      <c r="DC45" s="632">
        <f t="shared" si="126"/>
        <v>0</v>
      </c>
      <c r="DD45" s="631">
        <f t="shared" si="127"/>
        <v>0</v>
      </c>
      <c r="DE45" s="631">
        <f t="shared" si="128"/>
        <v>0</v>
      </c>
      <c r="DF45" s="631">
        <f t="shared" si="129"/>
        <v>0</v>
      </c>
      <c r="DG45" s="632">
        <f t="shared" si="130"/>
        <v>0</v>
      </c>
      <c r="DH45" s="632">
        <f t="shared" si="131"/>
        <v>0</v>
      </c>
      <c r="DI45" s="631">
        <f t="shared" si="132"/>
        <v>0</v>
      </c>
      <c r="DJ45" s="631">
        <f t="shared" si="133"/>
        <v>0</v>
      </c>
      <c r="DK45" s="631">
        <f t="shared" si="134"/>
        <v>0</v>
      </c>
      <c r="DL45" s="631">
        <f t="shared" si="135"/>
        <v>0</v>
      </c>
      <c r="DM45" s="631">
        <f t="shared" si="136"/>
        <v>0</v>
      </c>
      <c r="DN45" s="631">
        <f t="shared" si="137"/>
        <v>0</v>
      </c>
      <c r="DO45" s="631">
        <f t="shared" si="138"/>
        <v>0</v>
      </c>
      <c r="DP45" s="634">
        <f t="shared" si="139"/>
        <v>0</v>
      </c>
      <c r="DQ45" s="929">
        <f>IF($CB45=0,0,$DP45*_xlfn.XLOOKUP($CB45,Premises!$A$10:$F$10,Premises!$A$30:$F$30)/100)</f>
        <v>0</v>
      </c>
      <c r="DR45" s="633">
        <f>IFERROR(SUM($DP45:$DQ45)*IF(INDEX(Premises!$A$42:$F$42,1,MATCH($CB45,Premises!$A$10:$F$10,0))&gt;0,INDEX(Premises!$A$42:$F$42,1,MATCH($CB45,Premises!$A$10:$F$10,0))%,$CN45),0)</f>
        <v>0</v>
      </c>
      <c r="DS45" s="633" cm="1">
        <f t="array" ref="DS45">IF($CB45=0,0,SUM($DP45:$DR45)*_xlfn.XLOOKUP($CB45,Premises!$A$10:$F$10,IF(INDEX(Settings[],MATCH(3001,Settings[ID],0),2)="B",Premises!$A$33:$F$33,Premises!$A$31:$F$31))/100)</f>
        <v>0</v>
      </c>
      <c r="DT45" s="633" cm="1">
        <f t="array" ref="DT45">IF($CB45=0,0,$DP45*_xlfn.XLOOKUP($CB45,Premises!$A$10:$F$10,IF(INDEX(Settings[],MATCH(3002,Settings[ID],0),2)="B",Premises!$A$36:$F$36,Premises!$A$34:$F$34))/100)</f>
        <v>0</v>
      </c>
      <c r="DU45" s="633">
        <f>IF($CB45=0,0,SUM($DP45:$DT45)*_xlfn.XLOOKUP($CB45,Premises!$A$10:$F$10,Premises!$A$37:$F$37)/100)</f>
        <v>0</v>
      </c>
      <c r="DV45" s="932">
        <f t="shared" si="140"/>
        <v>0</v>
      </c>
      <c r="DW45" s="929">
        <f>IF($CC45=0,0,$DV45*_xlfn.XLOOKUP($CC45,Premises!$A$10:$F$10,Premises!$A$30:$F$30)/100)</f>
        <v>0</v>
      </c>
      <c r="DX45" s="633">
        <f>IFERROR(SUM($DV45:$DW45)*IF(INDEX(Premises!$A$42:$F$42,1,MATCH($CC45,Premises!$A$10:$F$10,0))&gt;0,INDEX(Premises!$A$42:$F$42,1,MATCH($CC45,Premises!$A$10:$F$10,0))%,$CP45),0)</f>
        <v>0</v>
      </c>
      <c r="DY45" s="633" cm="1">
        <f t="array" ref="DY45">IF($CC45=0,0,SUM($DV45:$DX45)*_xlfn.XLOOKUP($CC45,Premises!$A$10:$F$10,IF(INDEX(Settings[],MATCH(3001,Settings[ID],0),2)="B",Premises!$A$33:$F$33,Premises!$A$31:$F$31))/100)</f>
        <v>0</v>
      </c>
      <c r="DZ45" s="633" cm="1">
        <f t="array" ref="DZ45">IF($CC45=0,0,$DV45*_xlfn.XLOOKUP($CC45,Premises!$A$10:$F$10,IF(INDEX(Settings[],MATCH(3002,Settings[ID],0),2)="B",Premises!$A$36:$F$36,Premises!$A$34:$F$34))/100)</f>
        <v>0</v>
      </c>
      <c r="EA45" s="633">
        <f>IF($CC45=0,0,SUM($DV45:$DZ45)*_xlfn.XLOOKUP($CC45,Premises!$A$10:$F$10,Premises!$A$37:$F$37)/100)</f>
        <v>0</v>
      </c>
      <c r="EB45" s="634">
        <f t="shared" si="141"/>
        <v>0</v>
      </c>
      <c r="EC45" s="783"/>
      <c r="ED45" s="1082"/>
      <c r="EE45" s="633"/>
      <c r="EF45" s="1088"/>
      <c r="EG45" s="1086"/>
      <c r="EH45" s="1086"/>
      <c r="EI45" s="1086"/>
      <c r="EJ45" s="1086"/>
      <c r="EK45" s="1086"/>
      <c r="EL45" s="1086"/>
      <c r="EM45" s="1088"/>
      <c r="EN45" s="1086"/>
      <c r="EO45" s="1086"/>
      <c r="EP45" s="1086"/>
      <c r="EQ45" s="1086"/>
      <c r="ER45" s="1088"/>
      <c r="ES45" s="1086"/>
      <c r="ET45" s="1086"/>
      <c r="EU45" s="1086"/>
      <c r="EV45" s="1086"/>
      <c r="EW45" s="1086"/>
      <c r="EX45" s="1089"/>
      <c r="EY45" s="2"/>
      <c r="EZ45" s="2"/>
      <c r="FA45" s="2"/>
      <c r="FB45" s="2"/>
      <c r="FC45" s="2"/>
      <c r="FD45" s="2"/>
      <c r="FE45" s="2"/>
      <c r="FF45" s="2"/>
      <c r="FG45" s="2"/>
      <c r="FH45" s="2"/>
      <c r="FI45" s="2"/>
      <c r="FJ45" s="403"/>
      <c r="FK45" s="404"/>
      <c r="FL45" s="405"/>
      <c r="FM45" s="1133"/>
    </row>
    <row r="46" spans="1:169" s="13" customFormat="1" ht="12.75" customHeight="1">
      <c r="A46" s="215"/>
      <c r="B46" s="385"/>
      <c r="C46" s="386"/>
      <c r="D46" s="629"/>
      <c r="E46" s="387"/>
      <c r="F46" s="388"/>
      <c r="G46" s="388"/>
      <c r="H46" s="388"/>
      <c r="I46" s="620" cm="1">
        <f t="array" ref="I46">IF($CI46=0,0,IFERROR(INDEX(MHR[],$CI46,MATCH($CA46,MHR!$B$4:$AY$4,0)),0))</f>
        <v>0</v>
      </c>
      <c r="J46" s="617">
        <f t="shared" si="95"/>
        <v>0</v>
      </c>
      <c r="K46" s="389"/>
      <c r="L46" s="390"/>
      <c r="M46" s="849"/>
      <c r="N46" s="390"/>
      <c r="O46" s="388"/>
      <c r="P46" s="628" cm="1">
        <f t="array" ref="P46">IF($K46=0,0,IFERROR(ROUNDUP(IF(ISNUMBER($K46),$K46,INDEX($D$1:$D46,$CD46)*INDEX(Premises!$A$13:$F$13,1,$CH46)/IF(OR($K46="T",$K46="D"),250,IF($K46="W",50,IF($K46="M",12,IF(OR($K46="HJ",$K46="HY"),2,IF(OR($K46="J",$K46="Y"),1,0)))))),0),0))</f>
        <v>0</v>
      </c>
      <c r="Q46" s="620" cm="1">
        <f t="array" ref="Q46">IF($K46=0,0,IFERROR(INDEX(Premises!$A$22:$F$22,1,$CH46)*100/INDEX(Premises!$A$16:$F$16,1,$CH46),0))</f>
        <v>0</v>
      </c>
      <c r="R46" s="617">
        <f>IF($P46=0,0,IFERROR(($L46/60*($I46+$Q46*$M46)+($N46/60*($Q46*$O46)))/$P46,0))</f>
        <v>0</v>
      </c>
      <c r="S46" s="391"/>
      <c r="T46" s="392"/>
      <c r="U46" s="620" cm="1">
        <f t="array" ref="U46">IF(COUNTBLANK($S46:$T46),0,
IF(AND(INDEX(MHR[Schichtmodell],$CI46)&lt;&gt;0,INDEX(MHR[Schichtmodell],$CI46)&lt;&gt;INDEX(Premises!$A$20:$F$20,1,$CH46)),ExchangeRate*
IF(OR($T46="M",$T46="U"),IF(INDEX(MHR[Schichtmodell],$CI46)=1,INDEX(LOC[M1S],INDEX(Premises!$A$18:$F$18,1,$CH46+1)),IF(INDEX(MHR[Schichtmodell],$CI46)=2,INDEX(LOC[M2S],INDEX(Premises!$A$18:$F$18,1,$CH46+1),IF(INDEX(MHR[Schichtmodell],$CI46)=3,INDEX(LOC[M3S],INDEX(Premises!$A$18:$F$18,1,$CH46+1)),0)))),
IF(INDEX(MHR[Schichtmodell],$CI46)=1,INDEX(LOC[F1S],INDEX(Premises!$A$18:$F$18,1,$CH46+1)),IF(INDEX(MHR[Schichtmodell],$CI46)=2,INDEX(LOC[F2S],INDEX(Premises!$A$18:$F$18,1,$CH46+1)),IF(INDEX(MHR[Schichtmodell],$CI46)=3,INDEX(LOC[F3S],INDEX(Premises!$A$18:$F$18,1,$CH46+1)),0)))),
IF(OR($T46="M",$T46="U"),INDEX(Premises!$A$21:$F$21,1,$CH46),
IF(OR($T46="F",$T46="S"),INDEX(Premises!$A$22:$F$22,1,$CH46),0)))*100/INDEX(Premises!$A$16:$F$16,1,$CH46))</f>
        <v>0</v>
      </c>
      <c r="V46" s="614">
        <f t="shared" si="96"/>
        <v>0</v>
      </c>
      <c r="W46" s="393"/>
      <c r="X46" s="386"/>
      <c r="Y46" s="394"/>
      <c r="Z46" s="395"/>
      <c r="AA46" s="611">
        <f t="shared" si="97"/>
        <v>0</v>
      </c>
      <c r="AB46" s="393"/>
      <c r="AC46" s="386"/>
      <c r="AD46" s="394"/>
      <c r="AE46" s="396"/>
      <c r="AF46" s="611">
        <f t="shared" si="98"/>
        <v>0</v>
      </c>
      <c r="AG46" s="612" cm="1">
        <f t="array" ref="AG46">IF(($J46+$V46+$AF46)=0,0,INDEX(Premises!$A$30:$F$30,1,$CH46)/100)</f>
        <v>0</v>
      </c>
      <c r="AH46" s="397"/>
      <c r="AI46" s="398"/>
      <c r="AJ46" s="399"/>
      <c r="AK46" s="613">
        <f t="shared" si="99"/>
        <v>0</v>
      </c>
      <c r="AL46" s="614">
        <f t="shared" si="100"/>
        <v>0</v>
      </c>
      <c r="AM46" s="615" cm="1">
        <f t="array" ref="AM46">IF($CI46=0,0,IFERROR(INDEX(MHR[],$CI46,MATCH($CA46,MHR!$B$4:$AY$4,0)+11),0))</f>
        <v>0</v>
      </c>
      <c r="AN46" s="616" cm="1">
        <f t="array" ref="AN46">IF(($J46+$V46)=0,0,IFERROR(IF(INDEX(Premises!$A$41:$F$41,1,$CH46)&lt;&gt;0,INDEX(Premises!$A$41:$F$41,1,$CH46)/100,(IFERROR(($J46/$I46)*$AM46,0)/($V46+$J46+$R46+$AL46))),0))</f>
        <v>0</v>
      </c>
      <c r="AO46" s="617">
        <f t="shared" si="101"/>
        <v>0</v>
      </c>
      <c r="AP46" s="618">
        <f t="shared" si="102"/>
        <v>0</v>
      </c>
      <c r="AQ46" s="393"/>
      <c r="AR46" s="392"/>
      <c r="AS46" s="619" cm="1">
        <f t="array" ref="AS46">IF($CJ46=0,0,IFERROR(INDEX(MAT[Einheit],$CJ46,1),0))</f>
        <v>0</v>
      </c>
      <c r="AT46" s="620" cm="1">
        <f t="array" ref="AT46">IF($CJ46=0,0,IFERROR(INDEX(MAT[Preis],$CJ46,1),0))</f>
        <v>0</v>
      </c>
      <c r="AU46" s="621">
        <f t="shared" si="103"/>
        <v>0</v>
      </c>
      <c r="AV46" s="622" cm="1">
        <f t="array" ref="AV46">IF($AU46&lt;=0,0,INDEX(Premises!$A$30:$F$30,1,$CH46)/100)</f>
        <v>0</v>
      </c>
      <c r="AW46" s="392"/>
      <c r="AX46" s="614">
        <f t="shared" si="104"/>
        <v>0</v>
      </c>
      <c r="AY46" s="623" cm="1">
        <f t="array" ref="AY46">IF($AT46&lt;=0,0,IFERROR(IF(INDEX(Premises!$A$42:$F$42,1,$CH46)&lt;&gt;0,INDEX(Premises!$A$42:$F$42,1,$CH46)/100,(INDEX(MAT[],$CJ46,MATCH($CA46,MAT!$B$4:$AE$4,0))/($AR46*$CK46*INDEX(Premises!$A$13:$F$13,1,$CH46))+INDEX(MAT[],$CJ46,MATCH($CA46,MAT!$B$4:$AE$4,0)+7))/$AT46),0))</f>
        <v>0</v>
      </c>
      <c r="AZ46" s="614">
        <f t="shared" si="105"/>
        <v>0</v>
      </c>
      <c r="BA46" s="618">
        <f t="shared" si="106"/>
        <v>0</v>
      </c>
      <c r="BB46" s="618">
        <f t="shared" si="107"/>
        <v>0</v>
      </c>
      <c r="BC46" s="622" cm="1">
        <f t="array" ref="BC46">IF($BB46&lt;=0,0,IF(BC$2=-1,0,INDEX(Premises!$A$32:$F$32,1,$CH46)/100))</f>
        <v>0</v>
      </c>
      <c r="BD46" s="614">
        <f t="shared" si="108"/>
        <v>0</v>
      </c>
      <c r="BE46" s="622" cm="1">
        <f t="array" ref="BE46">IF($BB46&lt;=0,0,IF(BE$2=-1,0,INDEX(Premises!$A$33:$F$33,1,$CH46)/100))</f>
        <v>0</v>
      </c>
      <c r="BF46" s="614">
        <f t="shared" si="109"/>
        <v>0</v>
      </c>
      <c r="BG46" s="622" cm="1">
        <f t="array" ref="BG46">IF($BB46&lt;=0,0,IF(BG$2=-1,0,INDEX(Premises!$A$31:$F$31,1,$CH46)/100))</f>
        <v>0</v>
      </c>
      <c r="BH46" s="614">
        <f t="shared" si="110"/>
        <v>0</v>
      </c>
      <c r="BI46" s="618">
        <f t="shared" si="111"/>
        <v>0</v>
      </c>
      <c r="BJ46" s="622" cm="1">
        <f t="array" ref="BJ46">IF($BB46&lt;=0,0,IF(BJ$2=-1,0,INDEX(Premises!$A$35:$F$35,1,$CH46)/100))</f>
        <v>0</v>
      </c>
      <c r="BK46" s="614">
        <f t="shared" si="112"/>
        <v>0</v>
      </c>
      <c r="BL46" s="622" cm="1">
        <f t="array" ref="BL46">IF($BB46&lt;=0,0,IF(BL$2=-1,0,INDEX(Premises!$A$36:$F$36,1,$CH46)/100))</f>
        <v>0</v>
      </c>
      <c r="BM46" s="614">
        <f t="shared" si="113"/>
        <v>0</v>
      </c>
      <c r="BN46" s="622" cm="1">
        <f t="array" ref="BN46">IF($BB46&lt;=0,0,IF(BN$2=-1,0,INDEX(Premises!$A$34:$F$34,1,$CH46)/100))</f>
        <v>0</v>
      </c>
      <c r="BO46" s="614">
        <f t="shared" si="114"/>
        <v>0</v>
      </c>
      <c r="BP46" s="622" cm="1">
        <f t="array" ref="BP46">IF($BI46=0,0,INDEX(Premises!$A$37:$F$37,1,$CH46)/100)</f>
        <v>0</v>
      </c>
      <c r="BQ46" s="392"/>
      <c r="BR46" s="614">
        <f t="shared" si="115"/>
        <v>0</v>
      </c>
      <c r="BS46" s="624">
        <f t="shared" si="116"/>
        <v>0</v>
      </c>
      <c r="BT46" s="624">
        <f t="shared" si="117"/>
        <v>0</v>
      </c>
      <c r="BU46" s="625">
        <f t="shared" si="118"/>
        <v>0</v>
      </c>
      <c r="BV46" s="400"/>
      <c r="BW46" s="401"/>
      <c r="BX46" s="401"/>
      <c r="BY46" s="402"/>
      <c r="BZ46" s="946"/>
      <c r="CA46" s="263" cm="1">
        <f t="array" ref="CA46">IF($BZ46&gt;0,VALUE(LEFT($BZ46,IF(ISERROR(FIND("-",$BZ46)),LEN($BZ46),FIND("-",$BZ46)-1))),INDEX($CA$1:$CA46,MAX(1,$CD46)))</f>
        <v>1</v>
      </c>
      <c r="CB46" s="263" cm="1">
        <f t="array" ref="CB46">IF($BT46=0,0,IF(LEN($BZ46)-LEN(SUBSTITUTE($BZ46,"-",""))&gt;1,
VALUE(MID($BZ46,FIND("-",$BZ46)+1,FIND("-",$BZ46,FIND("-",$BZ46)+1)-FIND("-",$BZ46)-1)),IF($BZ46&gt;0,0,INDEX($CB$1:$CB46,MAX(1,$CD46)))))</f>
        <v>0</v>
      </c>
      <c r="CC46" s="263" cm="1">
        <f t="array" ref="CC46">IF($BT46=0,0,IF(NOT(ISERROR(FIND("-",BZ46))),
VALUE(RIGHT($BZ46,LEN($BZ46)-IF(LEN($BZ46)-LEN(SUBSTITUTE($BZ46,"-",""))=1,FIND("-",$BZ46),FIND("-",$BZ46,FIND("-",$BZ46)+1)))),
IF($BZ46&gt;0,0,INDEX($CC$1:$CC46,MAX(1,$CD46)))))</f>
        <v>0</v>
      </c>
      <c r="CD46" s="376">
        <f>MATCH(0,$CE$1:$CE46,-1)</f>
        <v>38</v>
      </c>
      <c r="CE46" s="263"/>
      <c r="CF46" s="377"/>
      <c r="CG46" s="376" cm="1">
        <f t="array" ref="CG46">INDEX($CG$1:$CG46,$CD46)</f>
        <v>6</v>
      </c>
      <c r="CH46" s="263">
        <f>MATCH($CA46,Premises!$A$10:$F$10,0)</f>
        <v>4</v>
      </c>
      <c r="CI46" s="263">
        <f>IF(ISBLANK($E46),0,IFERROR(MATCH($E46,MHR[Bezeichnung],0),0))</f>
        <v>0</v>
      </c>
      <c r="CJ46" s="377">
        <f>IF(ISBLANK($AQ46),0,IFERROR(MATCH($AQ46,MAT[Bezeichnung],0),0))</f>
        <v>0</v>
      </c>
      <c r="CK46" s="263" cm="1">
        <f t="array" ref="CK46">INDEX($D$1:$D46,$CD46)</f>
        <v>1</v>
      </c>
      <c r="CL46" s="263"/>
      <c r="CM46" s="378"/>
      <c r="CN46" s="379" cm="1">
        <f t="array" ref="CN46">IF($CB46=0,0,IF($CB46=INDEX($CB$1:$CB46,$CD46),INDEX($CN$1:$CN46,$CD46),$CP46))</f>
        <v>0</v>
      </c>
      <c r="CO46" s="378"/>
      <c r="CP46" s="379" cm="1">
        <f t="array" ref="CP46">IF($CC46=0,0,INDEX($CP$1:$CP46,$CD46))</f>
        <v>0</v>
      </c>
      <c r="CQ46" s="380"/>
      <c r="CR46" s="381"/>
      <c r="CS46" s="381"/>
      <c r="CT46" s="948"/>
      <c r="CU46" s="2"/>
      <c r="CV46" s="630">
        <f t="shared" si="119"/>
        <v>0</v>
      </c>
      <c r="CW46" s="631">
        <f t="shared" si="120"/>
        <v>0</v>
      </c>
      <c r="CX46" s="631">
        <f t="shared" si="121"/>
        <v>0</v>
      </c>
      <c r="CY46" s="631">
        <f t="shared" si="122"/>
        <v>0</v>
      </c>
      <c r="CZ46" s="631">
        <f t="shared" si="123"/>
        <v>0</v>
      </c>
      <c r="DA46" s="631">
        <f t="shared" si="124"/>
        <v>0</v>
      </c>
      <c r="DB46" s="631">
        <f t="shared" si="125"/>
        <v>0</v>
      </c>
      <c r="DC46" s="632">
        <f t="shared" si="126"/>
        <v>0</v>
      </c>
      <c r="DD46" s="631">
        <f t="shared" si="127"/>
        <v>0</v>
      </c>
      <c r="DE46" s="631">
        <f t="shared" si="128"/>
        <v>0</v>
      </c>
      <c r="DF46" s="631">
        <f t="shared" si="129"/>
        <v>0</v>
      </c>
      <c r="DG46" s="632">
        <f t="shared" si="130"/>
        <v>0</v>
      </c>
      <c r="DH46" s="632">
        <f t="shared" si="131"/>
        <v>0</v>
      </c>
      <c r="DI46" s="631">
        <f t="shared" si="132"/>
        <v>0</v>
      </c>
      <c r="DJ46" s="631">
        <f t="shared" si="133"/>
        <v>0</v>
      </c>
      <c r="DK46" s="631">
        <f t="shared" si="134"/>
        <v>0</v>
      </c>
      <c r="DL46" s="631">
        <f t="shared" si="135"/>
        <v>0</v>
      </c>
      <c r="DM46" s="631">
        <f t="shared" si="136"/>
        <v>0</v>
      </c>
      <c r="DN46" s="631">
        <f t="shared" si="137"/>
        <v>0</v>
      </c>
      <c r="DO46" s="631">
        <f t="shared" si="138"/>
        <v>0</v>
      </c>
      <c r="DP46" s="634">
        <f t="shared" si="139"/>
        <v>0</v>
      </c>
      <c r="DQ46" s="929">
        <f>IF($CB46=0,0,$DP46*_xlfn.XLOOKUP($CB46,Premises!$A$10:$F$10,Premises!$A$30:$F$30)/100)</f>
        <v>0</v>
      </c>
      <c r="DR46" s="633">
        <f>IFERROR(SUM($DP46:$DQ46)*IF(INDEX(Premises!$A$42:$F$42,1,MATCH($CB46,Premises!$A$10:$F$10,0))&gt;0,INDEX(Premises!$A$42:$F$42,1,MATCH($CB46,Premises!$A$10:$F$10,0))%,$CN46),0)</f>
        <v>0</v>
      </c>
      <c r="DS46" s="633" cm="1">
        <f t="array" ref="DS46">IF($CB46=0,0,SUM($DP46:$DR46)*_xlfn.XLOOKUP($CB46,Premises!$A$10:$F$10,IF(INDEX(Settings[],MATCH(3001,Settings[ID],0),2)="B",Premises!$A$33:$F$33,Premises!$A$31:$F$31))/100)</f>
        <v>0</v>
      </c>
      <c r="DT46" s="633" cm="1">
        <f t="array" ref="DT46">IF($CB46=0,0,$DP46*_xlfn.XLOOKUP($CB46,Premises!$A$10:$F$10,IF(INDEX(Settings[],MATCH(3002,Settings[ID],0),2)="B",Premises!$A$36:$F$36,Premises!$A$34:$F$34))/100)</f>
        <v>0</v>
      </c>
      <c r="DU46" s="633">
        <f>IF($CB46=0,0,SUM($DP46:$DT46)*_xlfn.XLOOKUP($CB46,Premises!$A$10:$F$10,Premises!$A$37:$F$37)/100)</f>
        <v>0</v>
      </c>
      <c r="DV46" s="932">
        <f t="shared" si="140"/>
        <v>0</v>
      </c>
      <c r="DW46" s="929">
        <f>IF($CC46=0,0,$DV46*_xlfn.XLOOKUP($CC46,Premises!$A$10:$F$10,Premises!$A$30:$F$30)/100)</f>
        <v>0</v>
      </c>
      <c r="DX46" s="633">
        <f>IFERROR(SUM($DV46:$DW46)*IF(INDEX(Premises!$A$42:$F$42,1,MATCH($CC46,Premises!$A$10:$F$10,0))&gt;0,INDEX(Premises!$A$42:$F$42,1,MATCH($CC46,Premises!$A$10:$F$10,0))%,$CP46),0)</f>
        <v>0</v>
      </c>
      <c r="DY46" s="633" cm="1">
        <f t="array" ref="DY46">IF($CC46=0,0,SUM($DV46:$DX46)*_xlfn.XLOOKUP($CC46,Premises!$A$10:$F$10,IF(INDEX(Settings[],MATCH(3001,Settings[ID],0),2)="B",Premises!$A$33:$F$33,Premises!$A$31:$F$31))/100)</f>
        <v>0</v>
      </c>
      <c r="DZ46" s="633" cm="1">
        <f t="array" ref="DZ46">IF($CC46=0,0,$DV46*_xlfn.XLOOKUP($CC46,Premises!$A$10:$F$10,IF(INDEX(Settings[],MATCH(3002,Settings[ID],0),2)="B",Premises!$A$36:$F$36,Premises!$A$34:$F$34))/100)</f>
        <v>0</v>
      </c>
      <c r="EA46" s="633">
        <f>IF($CC46=0,0,SUM($DV46:$DZ46)*_xlfn.XLOOKUP($CC46,Premises!$A$10:$F$10,Premises!$A$37:$F$37)/100)</f>
        <v>0</v>
      </c>
      <c r="EB46" s="634">
        <f t="shared" si="141"/>
        <v>0</v>
      </c>
      <c r="EC46" s="783"/>
      <c r="ED46" s="1082"/>
      <c r="EE46" s="633"/>
      <c r="EF46" s="1088"/>
      <c r="EG46" s="1086"/>
      <c r="EH46" s="1086"/>
      <c r="EI46" s="1086"/>
      <c r="EJ46" s="1086"/>
      <c r="EK46" s="1086"/>
      <c r="EL46" s="1086"/>
      <c r="EM46" s="1088"/>
      <c r="EN46" s="1086"/>
      <c r="EO46" s="1086"/>
      <c r="EP46" s="1086"/>
      <c r="EQ46" s="1086"/>
      <c r="ER46" s="1088"/>
      <c r="ES46" s="1086"/>
      <c r="ET46" s="1086"/>
      <c r="EU46" s="1086"/>
      <c r="EV46" s="1086"/>
      <c r="EW46" s="1086"/>
      <c r="EX46" s="1089"/>
      <c r="EY46" s="2"/>
      <c r="EZ46" s="2"/>
      <c r="FA46" s="2"/>
      <c r="FB46" s="2"/>
      <c r="FC46" s="2"/>
      <c r="FD46" s="2"/>
      <c r="FE46" s="2"/>
      <c r="FF46" s="2"/>
      <c r="FG46" s="2"/>
      <c r="FH46" s="2"/>
      <c r="FI46" s="2"/>
      <c r="FJ46" s="403"/>
      <c r="FK46" s="404"/>
      <c r="FL46" s="405"/>
      <c r="FM46" s="948"/>
    </row>
    <row r="47" spans="1:169" s="13" customFormat="1" ht="12.75" customHeight="1">
      <c r="A47" s="215"/>
      <c r="B47" s="370" t="str">
        <f>BOM!$A$7</f>
        <v>01-01-03 PCB UI Middle</v>
      </c>
      <c r="C47" s="371"/>
      <c r="D47" s="372" cm="1">
        <f t="array" ref="D47">IF($CG47=0,0,INDEX(BOM!$N:$N,$CG47))</f>
        <v>1</v>
      </c>
      <c r="E47" s="627" t="s">
        <v>664</v>
      </c>
      <c r="F47" s="627" t="s">
        <v>664</v>
      </c>
      <c r="G47" s="627" t="s">
        <v>664</v>
      </c>
      <c r="H47" s="627" t="s">
        <v>664</v>
      </c>
      <c r="I47" s="627" t="s">
        <v>664</v>
      </c>
      <c r="J47" s="627" t="s">
        <v>664</v>
      </c>
      <c r="K47" s="627" t="s">
        <v>664</v>
      </c>
      <c r="L47" s="627" t="s">
        <v>664</v>
      </c>
      <c r="M47" s="627" t="s">
        <v>664</v>
      </c>
      <c r="N47" s="627" t="s">
        <v>664</v>
      </c>
      <c r="O47" s="627" t="s">
        <v>664</v>
      </c>
      <c r="P47" s="627" t="s">
        <v>664</v>
      </c>
      <c r="Q47" s="627" t="s">
        <v>664</v>
      </c>
      <c r="R47" s="627" t="s">
        <v>664</v>
      </c>
      <c r="S47" s="627" t="s">
        <v>664</v>
      </c>
      <c r="T47" s="627" t="s">
        <v>664</v>
      </c>
      <c r="U47" s="627" t="s">
        <v>664</v>
      </c>
      <c r="V47" s="627" t="s">
        <v>664</v>
      </c>
      <c r="W47" s="627" t="s">
        <v>664</v>
      </c>
      <c r="X47" s="627" t="s">
        <v>664</v>
      </c>
      <c r="Y47" s="627" t="s">
        <v>664</v>
      </c>
      <c r="Z47" s="627" t="s">
        <v>664</v>
      </c>
      <c r="AA47" s="627" t="s">
        <v>664</v>
      </c>
      <c r="AB47" s="627" t="s">
        <v>664</v>
      </c>
      <c r="AC47" s="627" t="s">
        <v>664</v>
      </c>
      <c r="AD47" s="627" t="s">
        <v>664</v>
      </c>
      <c r="AE47" s="627" t="s">
        <v>664</v>
      </c>
      <c r="AF47" s="627" t="s">
        <v>664</v>
      </c>
      <c r="AG47" s="627" t="s">
        <v>664</v>
      </c>
      <c r="AH47" s="627" t="s">
        <v>664</v>
      </c>
      <c r="AI47" s="627" t="s">
        <v>664</v>
      </c>
      <c r="AJ47" s="627" t="s">
        <v>664</v>
      </c>
      <c r="AK47" s="627" t="s">
        <v>664</v>
      </c>
      <c r="AL47" s="627" t="s">
        <v>664</v>
      </c>
      <c r="AM47" s="627" t="s">
        <v>664</v>
      </c>
      <c r="AN47" s="627" t="s">
        <v>664</v>
      </c>
      <c r="AO47" s="627" t="s">
        <v>664</v>
      </c>
      <c r="AP47" s="627" t="s">
        <v>664</v>
      </c>
      <c r="AQ47" s="627" t="s">
        <v>664</v>
      </c>
      <c r="AR47" s="627" t="s">
        <v>664</v>
      </c>
      <c r="AS47" s="627" t="s">
        <v>664</v>
      </c>
      <c r="AT47" s="627" t="s">
        <v>664</v>
      </c>
      <c r="AU47" s="627" t="s">
        <v>664</v>
      </c>
      <c r="AV47" s="627" t="s">
        <v>664</v>
      </c>
      <c r="AW47" s="627" t="s">
        <v>664</v>
      </c>
      <c r="AX47" s="627" t="s">
        <v>664</v>
      </c>
      <c r="AY47" s="627" t="s">
        <v>664</v>
      </c>
      <c r="AZ47" s="627" t="s">
        <v>664</v>
      </c>
      <c r="BA47" s="627" t="s">
        <v>664</v>
      </c>
      <c r="BB47" s="627" t="s">
        <v>664</v>
      </c>
      <c r="BC47" s="627" t="s">
        <v>664</v>
      </c>
      <c r="BD47" s="627" t="s">
        <v>664</v>
      </c>
      <c r="BE47" s="627" t="s">
        <v>664</v>
      </c>
      <c r="BF47" s="627" t="s">
        <v>664</v>
      </c>
      <c r="BG47" s="627" t="s">
        <v>664</v>
      </c>
      <c r="BH47" s="627" t="s">
        <v>664</v>
      </c>
      <c r="BI47" s="627" t="s">
        <v>664</v>
      </c>
      <c r="BJ47" s="627" t="s">
        <v>664</v>
      </c>
      <c r="BK47" s="627" t="s">
        <v>664</v>
      </c>
      <c r="BL47" s="627" t="s">
        <v>664</v>
      </c>
      <c r="BM47" s="627" t="s">
        <v>664</v>
      </c>
      <c r="BN47" s="627" t="s">
        <v>664</v>
      </c>
      <c r="BO47" s="627" t="s">
        <v>664</v>
      </c>
      <c r="BP47" s="627" t="s">
        <v>664</v>
      </c>
      <c r="BQ47" s="627" t="s">
        <v>664</v>
      </c>
      <c r="BR47" s="627" t="s">
        <v>664</v>
      </c>
      <c r="BS47" s="898">
        <f>SUM(INDEX($BS:$BS,ROW()+1):INDEX($BS:$BS,$CE47))</f>
        <v>0.11539317440294378</v>
      </c>
      <c r="BT47" s="898">
        <f>SUM(INDEX($BT:$BT,ROW()+1):INDEX($BT:$BT,$CE47))</f>
        <v>0.11539317440294378</v>
      </c>
      <c r="BU47" s="627" t="s">
        <v>664</v>
      </c>
      <c r="BV47" s="626">
        <f>SUMPRODUCT($BS47:INDEX($BS:$BS,$CE47),$BU47:INDEX($BU:$BU,$CE47))</f>
        <v>0.11539317440294378</v>
      </c>
      <c r="BW47" s="373">
        <f>$D47*$BV47</f>
        <v>0.11539317440294378</v>
      </c>
      <c r="BX47" s="794" cm="1">
        <f t="array" ref="BX47">IF($CG47=0,0,IF(INDEX(BOM!$P:$P,$CG47)=0,0,
SUMPRODUCT($BW47:INDEX($BW:$BW,IFERROR(ROW()+MATCH($CL47,INDEX($CL:$CL,ROW()+1):INDEX($CL:$CL,MAX($CE:$CE)),0)-1,MAX($CE:$CE))),
($CL47:INDEX($CL:$CL,IFERROR(ROW()+MATCH($CL47,INDEX($CL:$CL,ROW()+1):INDEX($CL:$CL,MAX($CE:$CE)),0)-1,MAX($CE:$CE)))&gt;=$CL47)*1)
))</f>
        <v>0</v>
      </c>
      <c r="BY47" s="374"/>
      <c r="BZ47" s="375" cm="1">
        <f t="array" ref="BZ47">IF($CG47=0,0,INDEX(BOM!$M:$M,$CG47))</f>
        <v>1</v>
      </c>
      <c r="CA47" s="263">
        <f>IF($BZ47&gt;0,VALUE(LEFT($BZ47,IF(ISERROR(FIND("-",$BZ47)),LEN($BZ47),FIND("-",$BZ47)-1))),INDEX($BZ$1:BZ47,MATCH("",$A$1:A47,-1)))</f>
        <v>1</v>
      </c>
      <c r="CB47" s="263">
        <f>IF(LEN($BZ47)-LEN(SUBSTITUTE($BZ47,"-",))&gt;1,
VALUE(MID($BZ47,FIND("-",$BZ47)+1,FIND("-",$BZ47,FIND("-",$BZ47)+1)-FIND("-",$BZ47)-1)),0)</f>
        <v>0</v>
      </c>
      <c r="CC47" s="263">
        <f>IF(NOT(ISERROR(FIND("-",BZ47))),
VALUE(RIGHT($BZ47,LEN($BZ47)-IF(LEN($BZ47)-LEN(SUBSTITUTE($BZ47,"-",""))=1,FIND("-",$BZ47),FIND("-",$BZ47,FIND("-",$BZ47)+1)))),0)</f>
        <v>0</v>
      </c>
      <c r="CD47" s="376"/>
      <c r="CE47" s="263" cm="1">
        <f t="array" ref="CE47">ROW()+MATCH(TRUE,_xlfn.ISFORMULA(INDEX(BW:BW,ROW()+1):INDEX(BW:BW,ROW()+MaxNumberOfRowsPerBlock)),0)-1</f>
        <v>51</v>
      </c>
      <c r="CF47" s="377" cm="1">
        <f t="array" ref="CF47">IF(CL47=0,-1,IF(CL47=1,7,MAX(IF($CL$1:$CL47=CL47-1,ROW($CL$1:$CL47),0))))</f>
        <v>17</v>
      </c>
      <c r="CG47" s="376">
        <f>IFERROR(MATCH($B47,BOM!$A:$A,0),0)</f>
        <v>7</v>
      </c>
      <c r="CH47" s="263">
        <f>MATCH($CA47,Premises!$A$10:$F$10,0)</f>
        <v>4</v>
      </c>
      <c r="CI47" s="263"/>
      <c r="CJ47" s="377"/>
      <c r="CK47" s="263"/>
      <c r="CL47" s="263" cm="1">
        <f t="array" ref="CL47">IF($CG47=0,0,INDEX(BOM!$C:$C,$CG47))</f>
        <v>3</v>
      </c>
      <c r="CM47" s="378" cm="1">
        <f t="array" ref="CM47">IF($CG47=0,0,IF(OR($CF47&lt;0,AND(INDEX($CB:$CB,$CF47)=$CB47,INDEX($CC:$CC,$CF47)=$CC47)),0,IF(INDEX(BOM!$P:$P,$CG47)=0,$BT47,(SUMIF($CA47:INDEX($CA:$CA,IFERROR(ROW()+MATCH($CL47,INDEX($CL:$CL,ROW()+1):INDEX($CL:$CL,MAX($CE:$CE)),0)-1,MAX($CE:$CE))),$CA47,$BT47:INDEX($BT:$BT,IFERROR(ROW()+MATCH($CL47,INDEX($CL:$CL,ROW()+1):INDEX($CL:$CL,MAX($CE:$CE)),0)-1,MAX($CE:$CE))))+SUMIF($CB47:INDEX($CB:$CB,IFERROR(ROW()+MATCH($CL47,INDEX($CL:$CL,ROW()+1):INDEX($CL:$CL,MAX($CE:$CE)),0)-1,MAX($CE:$CE))),$CA47,$BT47:INDEX($BT:$BT,IFERROR(ROW()+MATCH($CL47,INDEX($CL:$CL,ROW()+1):INDEX($CL:$CL,MAX($CE:$CE)),0)-1,MAX($CE:$CE)))))/2)))</f>
        <v>0</v>
      </c>
      <c r="CN47" s="379" cm="1">
        <f t="array" ref="CN47">IFERROR(IF($CB47=0,0,IF($CM47=0,INDEX($CN$1:$CN47,$CF47),INDEX(IF($CM47&lt;0.2,Premises!$A$43:$F$43,IF($CM47&lt;5,Premises!$A$46:$F$46,Premises!$A$49:$F$49)),MATCH($CB47,Premises!$A$10:$F$10,0))/($CM47*INDEX(Premises!$A$13:$F$13,MATCH($CB47,Premises!$A$10:$F$10,0)))+INDEX(IF($CM47&lt;0.2,Premises!$A$44:$F$44,IF($CM47&lt;5,Premises!$A$47:$F$47,Premises!$A$50:$F$50)),MATCH($CB47,Premises!$A$10:$F$10,0))+INDEX(IF($CM47&lt;0.2,Premises!$A$45:$F$45,IF($CM47&lt;5,Premises!$A$48:$F$48,Premises!$A$51:$F$51)),MATCH($CB47,Premises!$A$10:$F$10,0))/$CM47)),0.01)</f>
        <v>0</v>
      </c>
      <c r="CO47" s="378" cm="1">
        <f t="array" ref="CO47">IF($CG47=0,0,IF(INDEX($CC:$CC,$CF47)=$CC47,0,$CM47*(1+IFERROR(INDEX(Premises!$A$52:$F$52,1,MATCH($CB47,Premises!$A$10:$F$10,0)),0)+$CN47)))</f>
        <v>0</v>
      </c>
      <c r="CP47" s="379" cm="1">
        <f t="array" ref="CP47">IFERROR(IF($CC47=0,0,IF($CO47=0,INDEX($CP$1:$CP47,$CF47),INDEX(IF($CO47&lt;0.2,Premises!$A$43:$F$43,IF($CO47&lt;5,Premises!$A$46:$F$46,Premises!$A$49:$F$49)),MATCH($CC47,Premises!$A$10:$F$10,0))/($CO47*INDEX(Premises!$A$13:$F$13,MATCH($CC47,Premises!$A$10:$F$10,0)))+INDEX(IF($CO47&lt;0.2,Premises!$A$44:$F$44,IF($CO47&lt;5,Premises!$A$47:$F$47,Premises!$A$50:$F$50)),MATCH($CC47,Premises!$A$10:$F$10,0))+INDEX(IF($CO47&lt;0.2,Premises!$A$45:$F$45,IF($CO47&lt;5,Premises!$A$48:$F$48,Premises!$A$51:$F$51)),MATCH($CC47,Premises!$A$10:$F$10,0))/$CO47)),0.01)</f>
        <v>0</v>
      </c>
      <c r="CQ47" s="380" cm="1">
        <f t="array" ref="CQ47">IF(AND($CM47=0,$CO47=0),0,INDEX(BOM!$O:$O,$CG47))</f>
        <v>0</v>
      </c>
      <c r="CR47" s="381" cm="1">
        <f t="array" ref="CR47">IF(OR($CM47=0,$CN47=0),0,ACOS(COS(RADIANS(90-INDEX(Premises!$A$66:$F$66,1,$CH47)))*COS(RADIANS(90-INDEX(Premises!$A$66:$F$66,1,MATCH($CB47,Premises!$A$10:$F$10,0))))
+SIN(RADIANS(90-INDEX(Premises!$A$66:$F$66,1,$CH47)))*SIN(RADIANS(90-INDEX(Premises!$A$66:$F$66,1,MATCH($CB47,Premises!$A$10:$F$10,0)))) * COS(RADIANS(INDEX(Premises!$A$67:$F$67,1,$CH47)-INDEX(Premises!$A$67:$F$67,1,MATCH($CB47,Premises!$A$10:$F$10,0)))))*6371)</f>
        <v>0</v>
      </c>
      <c r="CS47" s="381" cm="1">
        <f t="array" ref="CS47">IF(OR($CO47=0,$CP47=0),0,
IF($CR47=0,ACOS(COS(RADIANS(90-INDEX(Premises!$A$66:$F$66,1,$CH47)))*COS(RADIANS(90-INDEX(Premises!$A$66:$F$66,1,MATCH($CC47,Premises!$A$10:$F$10,0))))
+SIN(RADIANS(90-INDEX(Premises!$A$66:$F$66,1,$CH47)))*SIN(RADIANS(90-INDEX(Premises!$A$66:$F$66,1,MATCH($CC47,Premises!$A$10:$F$10,0))))*COS(RADIANS(INDEX(Premises!$A$67:$F$67,1,$CH47)-INDEX(Premises!$A$67:$F$67,1,MATCH($CC47,Premises!$A$10:$F$10,0)))))*6371,
ACOS(COS(RADIANS(90-INDEX(Premises!$A$66:$F$66,1,MATCH($CB47,Premises!$A$10:$F$10,0))))*COS(RADIANS(90-INDEX(Premises!$A$66:$F$66,1,MATCH($CC47,Premises!$A$10:$F$10,0))))
+SIN(RADIANS(90-INDEX(Premises!$A$66:$F$66,1,MATCH($CB47,Premises!$A$10:$F$10,0))))*SIN(RADIANS(90-INDEX(Premises!$A$66:$F$66,1,MATCH($CC47,Premises!$A$10:$F$10,0))))*COS(RADIANS(INDEX(Premises!$A$67:$F$67,1,MATCH($CB47,Premises!$A$10:$F$10,0))-INDEX(Premises!$A$67:$F$67,1,MATCH($CC47,Premises!$A$10:$F$10,0)))))*6371))</f>
        <v>0</v>
      </c>
      <c r="CT47" s="947"/>
      <c r="CU47" s="2"/>
      <c r="CV47" s="382">
        <f>SUM(INDEX(CV:CV,ROW()+1):INDEX(CV:CV,$CE47))</f>
        <v>0</v>
      </c>
      <c r="CW47" s="383">
        <f>SUM(INDEX(CW:CW,ROW()+1):INDEX(CW:CW,$CE47))</f>
        <v>0</v>
      </c>
      <c r="CX47" s="383">
        <f>SUM(INDEX(CX:CX,ROW()+1):INDEX(CX:CX,$CE47))</f>
        <v>0</v>
      </c>
      <c r="CY47" s="383">
        <f>SUM(INDEX(CY:CY,ROW()+1):INDEX(CY:CY,$CE47))</f>
        <v>0</v>
      </c>
      <c r="CZ47" s="383">
        <f>SUM(INDEX(CZ:CZ,ROW()+1):INDEX(CZ:CZ,$CE47))</f>
        <v>0</v>
      </c>
      <c r="DA47" s="383">
        <f>SUM(INDEX(DA:DA,ROW()+1):INDEX(DA:DA,$CE47))</f>
        <v>0</v>
      </c>
      <c r="DB47" s="383">
        <f>SUM(INDEX(DB:DB,ROW()+1):INDEX(DB:DB,$CE47))</f>
        <v>0</v>
      </c>
      <c r="DC47" s="383">
        <f>SUM(INDEX(DC:DC,ROW()+1):INDEX(DC:DC,$CE47))</f>
        <v>0</v>
      </c>
      <c r="DD47" s="383">
        <f>SUM(INDEX(DD:DD,ROW()+1):INDEX(DD:DD,$CE47))</f>
        <v>9.352884190325797E-2</v>
      </c>
      <c r="DE47" s="383">
        <f>SUM(INDEX(DE:DE,ROW()+1):INDEX(DE:DE,$CE47))</f>
        <v>9.3528841903257973E-4</v>
      </c>
      <c r="DF47" s="383">
        <f>SUM(INDEX(DF:DF,ROW()+1):INDEX(DF:DF,$CE47))</f>
        <v>5.3371823038442772E-3</v>
      </c>
      <c r="DG47" s="383">
        <f>SUM(INDEX(DG:DG,ROW()+1):INDEX(DG:DG,$CE47))</f>
        <v>9.9801312626134828E-2</v>
      </c>
      <c r="DH47" s="383">
        <f>SUM(INDEX(DH:DH,ROW()+1):INDEX(DH:DH,$CE47))</f>
        <v>9.9801312626134828E-2</v>
      </c>
      <c r="DI47" s="383">
        <f>SUM(INDEX(DI:DI,ROW()+1):INDEX(DI:DI,$CE47))</f>
        <v>0</v>
      </c>
      <c r="DJ47" s="383">
        <f>SUM(INDEX(DJ:DJ,ROW()+1):INDEX(DJ:DJ,$CE47))</f>
        <v>0</v>
      </c>
      <c r="DK47" s="383">
        <f>SUM(INDEX(DK:DK,ROW()+1):INDEX(DK:DK,$CE47))</f>
        <v>9.9801312626134828E-3</v>
      </c>
      <c r="DL47" s="383">
        <f>SUM(INDEX(DL:DL,ROW()+1):INDEX(DL:DL,$CE47))</f>
        <v>0</v>
      </c>
      <c r="DM47" s="383">
        <f>SUM(INDEX(DM:DM,ROW()+1):INDEX(DM:DM,$CE47))</f>
        <v>0</v>
      </c>
      <c r="DN47" s="383">
        <f>SUM(INDEX(DN:DN,ROW()+1):INDEX(DN:DN,$CE47))</f>
        <v>5.6117305141954784E-3</v>
      </c>
      <c r="DO47" s="383">
        <f>SUM(INDEX(DO:DO,ROW()+1):INDEX(DO:DO,$CE47))</f>
        <v>0</v>
      </c>
      <c r="DP47" s="383">
        <f>SUM(INDEX(DP:DP,ROW()+1):INDEX(DP:DP,$CE47))</f>
        <v>0.11539317440294378</v>
      </c>
      <c r="DQ47" s="383">
        <f>SUM(INDEX(DQ:DQ,ROW()+1):INDEX(DQ:DQ,$CE47))</f>
        <v>0</v>
      </c>
      <c r="DR47" s="383">
        <f>SUM(INDEX(DR:DR,ROW()+1):INDEX(DR:DR,$CE47))</f>
        <v>0</v>
      </c>
      <c r="DS47" s="383">
        <f>SUM(INDEX(DS:DS,ROW()+1):INDEX(DS:DS,$CE47))</f>
        <v>0</v>
      </c>
      <c r="DT47" s="383">
        <f>SUM(INDEX(DT:DT,ROW()+1):INDEX(DT:DT,$CE47))</f>
        <v>0</v>
      </c>
      <c r="DU47" s="383">
        <f>SUM(INDEX(DU:DU,ROW()+1):INDEX(DU:DU,$CE47))</f>
        <v>0</v>
      </c>
      <c r="DV47" s="383">
        <f>SUM(INDEX(DV:DV,ROW()+1):INDEX(DV:DV,$CE47))</f>
        <v>0.11539317440294378</v>
      </c>
      <c r="DW47" s="383">
        <f>SUM(INDEX(DW:DW,ROW()+1):INDEX(DW:DW,$CE47))</f>
        <v>0</v>
      </c>
      <c r="DX47" s="383">
        <f>SUM(INDEX(DX:DX,ROW()+1):INDEX(DX:DX,$CE47))</f>
        <v>0</v>
      </c>
      <c r="DY47" s="383">
        <f>SUM(INDEX(DY:DY,ROW()+1):INDEX(DY:DY,$CE47))</f>
        <v>0</v>
      </c>
      <c r="DZ47" s="383">
        <f>SUM(INDEX(DZ:DZ,ROW()+1):INDEX(DZ:DZ,$CE47))</f>
        <v>0</v>
      </c>
      <c r="EA47" s="383">
        <f>SUM(INDEX(EA:EA,ROW()+1):INDEX(EA:EA,$CE47))</f>
        <v>0</v>
      </c>
      <c r="EB47" s="384">
        <f>SUM(INDEX(EB:EB,ROW()+1):INDEX(EB:EB,$CE47))</f>
        <v>0.11539317440294378</v>
      </c>
      <c r="EC47" s="783"/>
      <c r="ED47" s="382"/>
      <c r="EE47" s="383"/>
      <c r="EF47" s="1090"/>
      <c r="EG47" s="1090"/>
      <c r="EH47" s="1090"/>
      <c r="EI47" s="1090"/>
      <c r="EJ47" s="1090"/>
      <c r="EK47" s="1090"/>
      <c r="EL47" s="1090"/>
      <c r="EM47" s="1090"/>
      <c r="EN47" s="1090"/>
      <c r="EO47" s="1090"/>
      <c r="EP47" s="1090"/>
      <c r="EQ47" s="1090"/>
      <c r="ER47" s="1090"/>
      <c r="ES47" s="1090"/>
      <c r="ET47" s="1090"/>
      <c r="EU47" s="1090"/>
      <c r="EV47" s="1090"/>
      <c r="EW47" s="1090"/>
      <c r="EX47" s="1091"/>
      <c r="EY47" s="2"/>
      <c r="EZ47" s="2"/>
      <c r="FA47" s="2"/>
      <c r="FB47" s="2"/>
      <c r="FC47" s="2"/>
      <c r="FD47" s="2"/>
      <c r="FE47" s="2"/>
      <c r="FF47" s="2"/>
      <c r="FG47" s="2"/>
      <c r="FH47" s="2"/>
      <c r="FI47" s="2"/>
      <c r="FJ47" s="382"/>
      <c r="FK47" s="383"/>
      <c r="FL47" s="384"/>
      <c r="FM47" s="947"/>
    </row>
    <row r="48" spans="1:169" s="13" customFormat="1" ht="12.75" customHeight="1">
      <c r="A48" s="215"/>
      <c r="B48" s="385" t="s">
        <v>34</v>
      </c>
      <c r="C48" s="386"/>
      <c r="D48" s="629"/>
      <c r="E48" s="387"/>
      <c r="F48" s="388"/>
      <c r="G48" s="388"/>
      <c r="H48" s="388"/>
      <c r="I48" s="620" cm="1">
        <f t="array" ref="I48">IF($CI48=0,0,IFERROR(INDEX(MHR[],$CI48,MATCH($CA48,MHR!$B$4:$AY$4,0)),0))</f>
        <v>0</v>
      </c>
      <c r="J48" s="617">
        <f>IF(COUNTBLANK($E48:$H48),0,IFERROR($F48/$H48/IF($G48="s",3600,IF($G48="min",60,IF($G48="h",1,0)))*I48,0))</f>
        <v>0</v>
      </c>
      <c r="K48" s="389"/>
      <c r="L48" s="390"/>
      <c r="M48" s="849"/>
      <c r="N48" s="390"/>
      <c r="O48" s="388"/>
      <c r="P48" s="628" cm="1">
        <f t="array" ref="P48">IF($K48=0,0,IFERROR(ROUNDUP(IF(ISNUMBER($K48),$K48,INDEX($D$1:$D48,$CD48)*INDEX(Premises!$A$13:$F$13,1,$CH48)/IF(OR($K48="T",$K48="D"),250,IF($K48="W",50,IF($K48="M",12,IF(OR($K48="HJ",$K48="HY"),2,IF(OR($K48="J",$K48="Y"),1,0)))))),0),0))</f>
        <v>0</v>
      </c>
      <c r="Q48" s="620" cm="1">
        <f t="array" ref="Q48">IF($K48=0,0,IFERROR(INDEX(Premises!$A$22:$F$22,1,$CH48)*100/INDEX(Premises!$A$16:$F$16,1,$CH48),0))</f>
        <v>0</v>
      </c>
      <c r="R48" s="617">
        <f>IF($P48=0,0,IFERROR(($L48/60*($I48+$Q48*$M48)+($N48/60*($Q48*$O48)))/$P48,0))</f>
        <v>0</v>
      </c>
      <c r="S48" s="391"/>
      <c r="T48" s="392"/>
      <c r="U48" s="620" cm="1">
        <f t="array" ref="U48">IF(COUNTBLANK($S48:$T48),0,
IF(AND(INDEX(MHR[Schichtmodell],$CI48)&lt;&gt;0,INDEX(MHR[Schichtmodell],$CI48)&lt;&gt;INDEX(Premises!$A$20:$F$20,1,$CH48)),ExchangeRate*
IF(OR($T48="M",$T48="U"),IF(INDEX(MHR[Schichtmodell],$CI48)=1,INDEX(LOC[M1S],INDEX(Premises!$A$18:$F$18,1,$CH48+1)),IF(INDEX(MHR[Schichtmodell],$CI48)=2,INDEX(LOC[M2S],INDEX(Premises!$A$18:$F$18,1,$CH48+1),IF(INDEX(MHR[Schichtmodell],$CI48)=3,INDEX(LOC[M3S],INDEX(Premises!$A$18:$F$18,1,$CH48+1)),0)))),
IF(INDEX(MHR[Schichtmodell],$CI48)=1,INDEX(LOC[F1S],INDEX(Premises!$A$18:$F$18,1,$CH48+1)),IF(INDEX(MHR[Schichtmodell],$CI48)=2,INDEX(LOC[F2S],INDEX(Premises!$A$18:$F$18,1,$CH48+1)),IF(INDEX(MHR[Schichtmodell],$CI48)=3,INDEX(LOC[F3S],INDEX(Premises!$A$18:$F$18,1,$CH48+1)),0)))),
IF(OR($T48="M",$T48="U"),INDEX(Premises!$A$21:$F$21,1,$CH48),
IF(OR($T48="F",$T48="S"),INDEX(Premises!$A$22:$F$22,1,$CH48),0)))*100/INDEX(Premises!$A$16:$F$16,1,$CH48))</f>
        <v>0</v>
      </c>
      <c r="V48" s="614">
        <f>IF($U48=0,0,IFERROR($F48/$H48/IF($G48="s",3600,IF($G48="min",60,IF($G48="h",1,0)))*$S48*$U48,0))</f>
        <v>0</v>
      </c>
      <c r="W48" s="393"/>
      <c r="X48" s="386"/>
      <c r="Y48" s="394"/>
      <c r="Z48" s="395"/>
      <c r="AA48" s="611">
        <f>IFERROR($X48*$Z48/$Y48/MAX(1,$H48),0)</f>
        <v>0</v>
      </c>
      <c r="AB48" s="393"/>
      <c r="AC48" s="386"/>
      <c r="AD48" s="394"/>
      <c r="AE48" s="396"/>
      <c r="AF48" s="611">
        <f>IFERROR($AC48*$AE48/$AD48,0)</f>
        <v>0</v>
      </c>
      <c r="AG48" s="612" cm="1">
        <f t="array" ref="AG48">IF(($J48+$V48+$AF48)=0,0,INDEX(Premises!$A$30:$F$30,1,$CH48)/100)</f>
        <v>0</v>
      </c>
      <c r="AH48" s="397"/>
      <c r="AI48" s="398"/>
      <c r="AJ48" s="399"/>
      <c r="AK48" s="613">
        <f>IF(COUNTBLANK($AH48:$AI48),0,$AH48*$AI48*$AG48)</f>
        <v>0</v>
      </c>
      <c r="AL48" s="614">
        <f>($AK48+$AJ48*$AG48*(1-$AH48)+($J48+$V48+$AF48)*$AG48*(1-$AH48))</f>
        <v>0</v>
      </c>
      <c r="AM48" s="615" cm="1">
        <f t="array" ref="AM48">IF($CI48=0,0,IFERROR(INDEX(MHR[],$CI48,MATCH($CA48,MHR!$B$4:$AY$4,0)+11),0))</f>
        <v>0</v>
      </c>
      <c r="AN48" s="616" cm="1">
        <f t="array" ref="AN48">IF(($J48+$V48)=0,0,IFERROR(IF(INDEX(Premises!$A$41:$F$41,1,$CH48)&lt;&gt;0,INDEX(Premises!$A$41:$F$41,1,$CH48)/100,(IFERROR(($J48/$I48)*$AM48,0)/($V48+$J48+$R48+$AL48))),0))</f>
        <v>0</v>
      </c>
      <c r="AO48" s="617">
        <f>IF(($J48+$V48)=0,0,IF(IFERROR(($J48+$R48+$V48+$AL48)*$AN48,0)&lt;&gt;IFERROR(($J48/$I48)*$AM48,0),($J48+$R48+$V48+$AL48)*$AN48,IFERROR(($J48/$I48)*$AM48,0)))</f>
        <v>0</v>
      </c>
      <c r="AP48" s="618">
        <f>$V48+$J48+$R48+$AA48+$AF48+$AL48+$AO48</f>
        <v>0</v>
      </c>
      <c r="AQ48" s="393" t="s">
        <v>4064</v>
      </c>
      <c r="AR48" s="392">
        <f>VLOOKUP(B47,BOM!$1:$1048576,6,0)</f>
        <v>1</v>
      </c>
      <c r="AS48" s="619" t="str" cm="1">
        <f t="array" ref="AS48">IF($CJ48=0,0,IFERROR(INDEX(MAT[Einheit],$CJ48,1),0))</f>
        <v>pcs.</v>
      </c>
      <c r="AT48" s="620" cm="1">
        <f t="array" ref="AT48">IF($CJ48=0,0,IFERROR(INDEX(MAT[Preis],$CJ48,1),0))</f>
        <v>9.352884190325797E-2</v>
      </c>
      <c r="AU48" s="621">
        <f>$AR48*$AT48</f>
        <v>9.352884190325797E-2</v>
      </c>
      <c r="AV48" s="622" cm="1">
        <f t="array" ref="AV48">IF($AU48&lt;=0,0,INDEX(Premises!$A$30:$F$30,1,$CH48)/100)</f>
        <v>0.01</v>
      </c>
      <c r="AW48" s="392"/>
      <c r="AX48" s="614">
        <f>IF($AV48=0,0,($AU48+$AW48)*$AV48)</f>
        <v>9.3528841903257973E-4</v>
      </c>
      <c r="AY48" s="623" cm="1">
        <f t="array" ref="AY48">IF($AT48&lt;=0,0,IFERROR(IF(INDEX(Premises!$A$42:$F$42,1,$CH48)&lt;&gt;0,INDEX(Premises!$A$42:$F$42,1,$CH48)/100,(INDEX(MAT[],$CJ48,MATCH($CA48,MAT!$B$4:$AE$4,0))/($AR48*$CK48*INDEX(Premises!$A$13:$F$13,1,$CH48))+INDEX(MAT[],$CJ48,MATCH($CA48,MAT!$B$4:$AE$4,0)+7))/$AT48),0))</f>
        <v>5.6499565344379943E-2</v>
      </c>
      <c r="AZ48" s="614">
        <f>IF($AY48=0,0,($AU48+$AX48)*$AY48)</f>
        <v>5.3371823038442772E-3</v>
      </c>
      <c r="BA48" s="618">
        <f>$AU48+$AX48+$AZ48</f>
        <v>9.9801312626134828E-2</v>
      </c>
      <c r="BB48" s="618">
        <f>$AP48+$BA48</f>
        <v>9.9801312626134828E-2</v>
      </c>
      <c r="BC48" s="622" cm="1">
        <f t="array" ref="BC48">IF($BB48&lt;=0,0,IF(BC$2=-1,0,INDEX(Premises!$A$32:$F$32,1,$CH48)/100))</f>
        <v>0</v>
      </c>
      <c r="BD48" s="614">
        <f>IF($AP48&lt;=0,0,($AP48-$AA48-$AL48)*$BC48)</f>
        <v>0</v>
      </c>
      <c r="BE48" s="622" cm="1">
        <f t="array" ref="BE48">IF($BB48&lt;=0,0,IF(BE$2=-1,0,INDEX(Premises!$A$33:$F$33,1,$CH48)/100))</f>
        <v>0</v>
      </c>
      <c r="BF48" s="614">
        <f>IF($BA48&lt;=0,0,$BA48*$BE48)</f>
        <v>0</v>
      </c>
      <c r="BG48" s="622" cm="1">
        <f t="array" ref="BG48">IF($BB48&lt;=0,0,IF(BG$2=-1,0,INDEX(Premises!$A$31:$F$31,1,$CH48)/100))</f>
        <v>0.1</v>
      </c>
      <c r="BH48" s="614">
        <f>(($AP48-$AA48-$AL48)+$BA48)*$BG48</f>
        <v>9.9801312626134828E-3</v>
      </c>
      <c r="BI48" s="618">
        <f>$BB48+$BD48+$BF48+$BH48</f>
        <v>0.1097814438887483</v>
      </c>
      <c r="BJ48" s="622" cm="1">
        <f t="array" ref="BJ48">IF($BB48&lt;=0,0,IF(BJ$2=-1,0,INDEX(Premises!$A$35:$F$35,1,$CH48)/100))</f>
        <v>0</v>
      </c>
      <c r="BK48" s="614">
        <f>IF($AP48&lt;=0,0,($AP48-$AL48-$AA48)*$BJ48)</f>
        <v>0</v>
      </c>
      <c r="BL48" s="622" cm="1">
        <f t="array" ref="BL48">IF($BB48&lt;=0,0,IF(BL$2=-1,0,INDEX(Premises!$A$36:$F$36,1,$CH48)/100))</f>
        <v>0</v>
      </c>
      <c r="BM48" s="614">
        <f>IF($AU48&lt;=0,0,($AR48*$AT48)*$BL48)</f>
        <v>0</v>
      </c>
      <c r="BN48" s="622" cm="1">
        <f t="array" ref="BN48">IF($BB48&lt;=0,0,IF(BN$2=-1,0,INDEX(Premises!$A$34:$F$34,1,$CH48)/100))</f>
        <v>0.06</v>
      </c>
      <c r="BO48" s="614">
        <f>(($AP48-$AL48-$AA48)+($AR48*$AT48))*$BN48</f>
        <v>5.6117305141954784E-3</v>
      </c>
      <c r="BP48" s="622" cm="1">
        <f t="array" ref="BP48">IF($BI48=0,0,INDEX(Premises!$A$37:$F$37,1,$CH48)/100)</f>
        <v>0</v>
      </c>
      <c r="BQ48" s="392"/>
      <c r="BR48" s="614">
        <f>($BI48+$BK48+$BM48+$BO48)*$BP48+$BQ48</f>
        <v>0</v>
      </c>
      <c r="BS48" s="624">
        <f>BI48+BK48+BM48+BO48+BR48</f>
        <v>0.11539317440294378</v>
      </c>
      <c r="BT48" s="624">
        <f>IF($BS48=0,0,$CK48*$BS48)</f>
        <v>0.11539317440294378</v>
      </c>
      <c r="BU48" s="625">
        <f>IF($BT48=0,0,MAX(1,$EB48/$DP48))</f>
        <v>1</v>
      </c>
      <c r="BV48" s="400"/>
      <c r="BW48" s="401"/>
      <c r="BX48" s="401"/>
      <c r="BY48" s="402"/>
      <c r="BZ48" s="946"/>
      <c r="CA48" s="263" cm="1">
        <f t="array" ref="CA48">IF($BZ48&gt;0,VALUE(LEFT($BZ48,IF(ISERROR(FIND("-",$BZ48)),LEN($BZ48),FIND("-",$BZ48)-1))),INDEX($CA$1:$CA48,MAX(1,$CD48)))</f>
        <v>1</v>
      </c>
      <c r="CB48" s="263" cm="1">
        <f t="array" ref="CB48">IF($BT48=0,0,IF(LEN($BZ48)-LEN(SUBSTITUTE($BZ48,"-",""))&gt;1,
VALUE(MID($BZ48,FIND("-",$BZ48)+1,FIND("-",$BZ48,FIND("-",$BZ48)+1)-FIND("-",$BZ48)-1)),IF($BZ48&gt;0,0,INDEX($CB$1:$CB48,MAX(1,$CD48)))))</f>
        <v>0</v>
      </c>
      <c r="CC48" s="263" cm="1">
        <f t="array" ref="CC48">IF($BT48=0,0,IF(NOT(ISERROR(FIND("-",BZ48))),
VALUE(RIGHT($BZ48,LEN($BZ48)-IF(LEN($BZ48)-LEN(SUBSTITUTE($BZ48,"-",""))=1,FIND("-",$BZ48),FIND("-",$BZ48,FIND("-",$BZ48)+1)))),
IF($BZ48&gt;0,0,INDEX($CC$1:$CC48,MAX(1,$CD48)))))</f>
        <v>0</v>
      </c>
      <c r="CD48" s="376">
        <f>MATCH(0,$CE$1:$CE48,-1)</f>
        <v>47</v>
      </c>
      <c r="CE48" s="263"/>
      <c r="CF48" s="377"/>
      <c r="CG48" s="376" cm="1">
        <f t="array" ref="CG48">INDEX($CG$1:$CG48,$CD48)</f>
        <v>7</v>
      </c>
      <c r="CH48" s="263">
        <f>MATCH($CA48,Premises!$A$10:$F$10,0)</f>
        <v>4</v>
      </c>
      <c r="CI48" s="263">
        <f>IF(ISBLANK($E48),0,IFERROR(MATCH($E48,MHR[Bezeichnung],0),0))</f>
        <v>0</v>
      </c>
      <c r="CJ48" s="377">
        <f>IF(ISBLANK($AQ48),0,IFERROR(MATCH($AQ48,MAT[Bezeichnung],0),0))</f>
        <v>3</v>
      </c>
      <c r="CK48" s="263" cm="1">
        <f t="array" ref="CK48">INDEX($D$1:$D48,$CD48)</f>
        <v>1</v>
      </c>
      <c r="CL48" s="263"/>
      <c r="CM48" s="378"/>
      <c r="CN48" s="379" cm="1">
        <f t="array" ref="CN48">IF($CB48=0,0,IF($CB48=INDEX($CB$1:$CB48,$CD48),INDEX($CN$1:$CN48,$CD48),$CP48))</f>
        <v>0</v>
      </c>
      <c r="CO48" s="378"/>
      <c r="CP48" s="379" cm="1">
        <f t="array" ref="CP48">IF($CC48=0,0,INDEX($CP$1:$CP48,$CD48))</f>
        <v>0</v>
      </c>
      <c r="CQ48" s="380"/>
      <c r="CR48" s="381"/>
      <c r="CS48" s="381"/>
      <c r="CT48" s="948"/>
      <c r="CU48" s="2"/>
      <c r="CV48" s="630">
        <f>$J48*$CK48</f>
        <v>0</v>
      </c>
      <c r="CW48" s="631">
        <f>$R48*$CK48</f>
        <v>0</v>
      </c>
      <c r="CX48" s="631">
        <f>$V48*$CK48</f>
        <v>0</v>
      </c>
      <c r="CY48" s="631">
        <f>$AA48*$CK48</f>
        <v>0</v>
      </c>
      <c r="CZ48" s="631">
        <f>$AF48*$CK48</f>
        <v>0</v>
      </c>
      <c r="DA48" s="631">
        <f>$AL48*$CK48</f>
        <v>0</v>
      </c>
      <c r="DB48" s="631">
        <f>$AO48*$CK48</f>
        <v>0</v>
      </c>
      <c r="DC48" s="632">
        <f>$AP48*$CK48</f>
        <v>0</v>
      </c>
      <c r="DD48" s="631">
        <f>$AU48*$CK48</f>
        <v>9.352884190325797E-2</v>
      </c>
      <c r="DE48" s="631">
        <f>$AX48*$CK48</f>
        <v>9.3528841903257973E-4</v>
      </c>
      <c r="DF48" s="631">
        <f>$AZ48*$CK48</f>
        <v>5.3371823038442772E-3</v>
      </c>
      <c r="DG48" s="632">
        <f>$BA48*$CK48</f>
        <v>9.9801312626134828E-2</v>
      </c>
      <c r="DH48" s="632">
        <f>$BB48*$CK48</f>
        <v>9.9801312626134828E-2</v>
      </c>
      <c r="DI48" s="631">
        <f>$BD48*$CK48</f>
        <v>0</v>
      </c>
      <c r="DJ48" s="631">
        <f>$BF48*$CK48</f>
        <v>0</v>
      </c>
      <c r="DK48" s="631">
        <f>$BH48*$CK48</f>
        <v>9.9801312626134828E-3</v>
      </c>
      <c r="DL48" s="631">
        <f>$BK48*$CK48</f>
        <v>0</v>
      </c>
      <c r="DM48" s="631">
        <f>$BM48*$CK48</f>
        <v>0</v>
      </c>
      <c r="DN48" s="631">
        <f>$BO48*$CK48</f>
        <v>5.6117305141954784E-3</v>
      </c>
      <c r="DO48" s="631">
        <f>$BR48*$CK48</f>
        <v>0</v>
      </c>
      <c r="DP48" s="634">
        <f>$CK48*($BB48+$BD48+$BF48+$BH48+$BK48+$BM48+$BO48+$BR48)</f>
        <v>0.11539317440294378</v>
      </c>
      <c r="DQ48" s="929">
        <f>IF($CB48=0,0,$DP48*_xlfn.XLOOKUP($CB48,Premises!$A$10:$F$10,Premises!$A$30:$F$30)/100)</f>
        <v>0</v>
      </c>
      <c r="DR48" s="633">
        <f>IFERROR(SUM($DP48:$DQ48)*IF(INDEX(Premises!$A$42:$F$42,1,MATCH($CB48,Premises!$A$10:$F$10,0))&gt;0,INDEX(Premises!$A$42:$F$42,1,MATCH($CB48,Premises!$A$10:$F$10,0))%,$CN48),0)</f>
        <v>0</v>
      </c>
      <c r="DS48" s="633" cm="1">
        <f t="array" ref="DS48">IF($CB48=0,0,SUM($DP48:$DR48)*_xlfn.XLOOKUP($CB48,Premises!$A$10:$F$10,IF(INDEX(Settings[],MATCH(3001,Settings[ID],0),2)="B",Premises!$A$33:$F$33,Premises!$A$31:$F$31))/100)</f>
        <v>0</v>
      </c>
      <c r="DT48" s="633" cm="1">
        <f t="array" ref="DT48">IF($CB48=0,0,$DP48*_xlfn.XLOOKUP($CB48,Premises!$A$10:$F$10,IF(INDEX(Settings[],MATCH(3002,Settings[ID],0),2)="B",Premises!$A$36:$F$36,Premises!$A$34:$F$34))/100)</f>
        <v>0</v>
      </c>
      <c r="DU48" s="633">
        <f>IF($CB48=0,0,SUM($DP48:$DT48)*_xlfn.XLOOKUP($CB48,Premises!$A$10:$F$10,Premises!$A$37:$F$37)/100)</f>
        <v>0</v>
      </c>
      <c r="DV48" s="932">
        <f>SUM($DP48:$DU48)</f>
        <v>0.11539317440294378</v>
      </c>
      <c r="DW48" s="929">
        <f>IF($CC48=0,0,$DV48*_xlfn.XLOOKUP($CC48,Premises!$A$10:$F$10,Premises!$A$30:$F$30)/100)</f>
        <v>0</v>
      </c>
      <c r="DX48" s="633">
        <f>IFERROR(SUM($DV48:$DW48)*IF(INDEX(Premises!$A$42:$F$42,1,MATCH($CC48,Premises!$A$10:$F$10,0))&gt;0,INDEX(Premises!$A$42:$F$42,1,MATCH($CC48,Premises!$A$10:$F$10,0))%,$CP48),0)</f>
        <v>0</v>
      </c>
      <c r="DY48" s="633" cm="1">
        <f t="array" ref="DY48">IF($CC48=0,0,SUM($DV48:$DX48)*_xlfn.XLOOKUP($CC48,Premises!$A$10:$F$10,IF(INDEX(Settings[],MATCH(3001,Settings[ID],0),2)="B",Premises!$A$33:$F$33,Premises!$A$31:$F$31))/100)</f>
        <v>0</v>
      </c>
      <c r="DZ48" s="633" cm="1">
        <f t="array" ref="DZ48">IF($CC48=0,0,$DV48*_xlfn.XLOOKUP($CC48,Premises!$A$10:$F$10,IF(INDEX(Settings[],MATCH(3002,Settings[ID],0),2)="B",Premises!$A$36:$F$36,Premises!$A$34:$F$34))/100)</f>
        <v>0</v>
      </c>
      <c r="EA48" s="633">
        <f>IF($CC48=0,0,SUM($DV48:$DZ48)*_xlfn.XLOOKUP($CC48,Premises!$A$10:$F$10,Premises!$A$37:$F$37)/100)</f>
        <v>0</v>
      </c>
      <c r="EB48" s="634">
        <f>SUM($DV48:$EA48)</f>
        <v>0.11539317440294378</v>
      </c>
      <c r="EC48" s="783"/>
      <c r="ED48" s="1082"/>
      <c r="EE48" s="633"/>
      <c r="EF48" s="1088"/>
      <c r="EG48" s="1086"/>
      <c r="EH48" s="1086"/>
      <c r="EI48" s="1086"/>
      <c r="EJ48" s="1086"/>
      <c r="EK48" s="1086"/>
      <c r="EL48" s="1086"/>
      <c r="EM48" s="1088"/>
      <c r="EN48" s="1086"/>
      <c r="EO48" s="1086"/>
      <c r="EP48" s="1086"/>
      <c r="EQ48" s="1086"/>
      <c r="ER48" s="1088"/>
      <c r="ES48" s="1086"/>
      <c r="ET48" s="1086"/>
      <c r="EU48" s="1086"/>
      <c r="EV48" s="1086"/>
      <c r="EW48" s="1086"/>
      <c r="EX48" s="1089"/>
      <c r="EY48" s="2"/>
      <c r="EZ48" s="2"/>
      <c r="FA48" s="2"/>
      <c r="FB48" s="2"/>
      <c r="FC48" s="2"/>
      <c r="FD48" s="2"/>
      <c r="FE48" s="2"/>
      <c r="FF48" s="2"/>
      <c r="FG48" s="2"/>
      <c r="FH48" s="2"/>
      <c r="FI48" s="2"/>
      <c r="FJ48" s="403"/>
      <c r="FK48" s="404"/>
      <c r="FL48" s="405"/>
      <c r="FM48" s="948"/>
    </row>
    <row r="49" spans="1:169" s="13" customFormat="1" ht="12.75" customHeight="1">
      <c r="A49" s="215"/>
      <c r="B49" s="385"/>
      <c r="C49" s="386"/>
      <c r="D49" s="629"/>
      <c r="E49" s="387"/>
      <c r="F49" s="388"/>
      <c r="G49" s="388"/>
      <c r="H49" s="388"/>
      <c r="I49" s="620" cm="1">
        <f t="array" ref="I49">IF($CI49=0,0,IFERROR(INDEX(MHR[],$CI49,MATCH($CA49,MHR!$B$4:$AY$4,0)),0))</f>
        <v>0</v>
      </c>
      <c r="J49" s="617">
        <f>IF(COUNTBLANK($E49:$H49),0,IFERROR($F49/$H49/IF($G49="s",3600,IF($G49="min",60,IF($G49="h",1,0)))*I49,0))</f>
        <v>0</v>
      </c>
      <c r="K49" s="389"/>
      <c r="L49" s="390"/>
      <c r="M49" s="849"/>
      <c r="N49" s="390"/>
      <c r="O49" s="388"/>
      <c r="P49" s="628" cm="1">
        <f t="array" ref="P49">IF($K49=0,0,IFERROR(ROUNDUP(IF(ISNUMBER($K49),$K49,INDEX($D$1:$D49,$CD49)*INDEX(Premises!$A$13:$F$13,1,$CH49)/IF(OR($K49="T",$K49="D"),250,IF($K49="W",50,IF($K49="M",12,IF(OR($K49="HJ",$K49="HY"),2,IF(OR($K49="J",$K49="Y"),1,0)))))),0),0))</f>
        <v>0</v>
      </c>
      <c r="Q49" s="620" cm="1">
        <f t="array" ref="Q49">IF($K49=0,0,IFERROR(INDEX(Premises!$A$22:$F$22,1,$CH49)*100/INDEX(Premises!$A$16:$F$16,1,$CH49),0))</f>
        <v>0</v>
      </c>
      <c r="R49" s="617">
        <f>IF($P49=0,0,IFERROR(($L49/60*($I49+$Q49*$M49)+($N49/60*($Q49*$O49)))/$P49,0))</f>
        <v>0</v>
      </c>
      <c r="S49" s="391"/>
      <c r="T49" s="392"/>
      <c r="U49" s="620" cm="1">
        <f t="array" ref="U49">IF(COUNTBLANK($S49:$T49),0,
IF(AND(INDEX(MHR[Schichtmodell],$CI49)&lt;&gt;0,INDEX(MHR[Schichtmodell],$CI49)&lt;&gt;INDEX(Premises!$A$20:$F$20,1,$CH49)),ExchangeRate*
IF(OR($T49="M",$T49="U"),IF(INDEX(MHR[Schichtmodell],$CI49)=1,INDEX(LOC[M1S],INDEX(Premises!$A$18:$F$18,1,$CH49+1)),IF(INDEX(MHR[Schichtmodell],$CI49)=2,INDEX(LOC[M2S],INDEX(Premises!$A$18:$F$18,1,$CH49+1),IF(INDEX(MHR[Schichtmodell],$CI49)=3,INDEX(LOC[M3S],INDEX(Premises!$A$18:$F$18,1,$CH49+1)),0)))),
IF(INDEX(MHR[Schichtmodell],$CI49)=1,INDEX(LOC[F1S],INDEX(Premises!$A$18:$F$18,1,$CH49+1)),IF(INDEX(MHR[Schichtmodell],$CI49)=2,INDEX(LOC[F2S],INDEX(Premises!$A$18:$F$18,1,$CH49+1)),IF(INDEX(MHR[Schichtmodell],$CI49)=3,INDEX(LOC[F3S],INDEX(Premises!$A$18:$F$18,1,$CH49+1)),0)))),
IF(OR($T49="M",$T49="U"),INDEX(Premises!$A$21:$F$21,1,$CH49),
IF(OR($T49="F",$T49="S"),INDEX(Premises!$A$22:$F$22,1,$CH49),0)))*100/INDEX(Premises!$A$16:$F$16,1,$CH49))</f>
        <v>0</v>
      </c>
      <c r="V49" s="614">
        <f>IF($U49=0,0,IFERROR($F49/$H49/IF($G49="s",3600,IF($G49="min",60,IF($G49="h",1,0)))*$S49*$U49,0))</f>
        <v>0</v>
      </c>
      <c r="W49" s="393"/>
      <c r="X49" s="386"/>
      <c r="Y49" s="394"/>
      <c r="Z49" s="395"/>
      <c r="AA49" s="611">
        <f>IFERROR($X49*$Z49/$Y49/MAX(1,$H49),0)</f>
        <v>0</v>
      </c>
      <c r="AB49" s="393"/>
      <c r="AC49" s="386"/>
      <c r="AD49" s="394"/>
      <c r="AE49" s="396"/>
      <c r="AF49" s="611">
        <f>IFERROR($AC49*$AE49/$AD49,0)</f>
        <v>0</v>
      </c>
      <c r="AG49" s="612" cm="1">
        <f t="array" ref="AG49">IF(($J49+$V49+$AF49)=0,0,INDEX(Premises!$A$30:$F$30,1,$CH49)/100)</f>
        <v>0</v>
      </c>
      <c r="AH49" s="397"/>
      <c r="AI49" s="398"/>
      <c r="AJ49" s="399"/>
      <c r="AK49" s="613">
        <f>IF(COUNTBLANK($AH49:$AI49),0,$AH49*$AI49*$AG49)</f>
        <v>0</v>
      </c>
      <c r="AL49" s="614">
        <f>($AK49+$AJ49*$AG49*(1-$AH49)+($J49+$V49+$AF49)*$AG49*(1-$AH49))</f>
        <v>0</v>
      </c>
      <c r="AM49" s="615" cm="1">
        <f t="array" ref="AM49">IF($CI49=0,0,IFERROR(INDEX(MHR[],$CI49,MATCH($CA49,MHR!$B$4:$AY$4,0)+11),0))</f>
        <v>0</v>
      </c>
      <c r="AN49" s="616" cm="1">
        <f t="array" ref="AN49">IF(($J49+$V49)=0,0,IFERROR(IF(INDEX(Premises!$A$41:$F$41,1,$CH49)&lt;&gt;0,INDEX(Premises!$A$41:$F$41,1,$CH49)/100,(IFERROR(($J49/$I49)*$AM49,0)/($V49+$J49+$R49+$AL49))),0))</f>
        <v>0</v>
      </c>
      <c r="AO49" s="617">
        <f>IF(($J49+$V49)=0,0,IF(IFERROR(($J49+$R49+$V49+$AL49)*$AN49,0)&lt;&gt;IFERROR(($J49/$I49)*$AM49,0),($J49+$R49+$V49+$AL49)*$AN49,IFERROR(($J49/$I49)*$AM49,0)))</f>
        <v>0</v>
      </c>
      <c r="AP49" s="618">
        <f>$V49+$J49+$R49+$AA49+$AF49+$AL49+$AO49</f>
        <v>0</v>
      </c>
      <c r="AQ49" s="393"/>
      <c r="AR49" s="392"/>
      <c r="AS49" s="619" cm="1">
        <f t="array" ref="AS49">IF($CJ49=0,0,IFERROR(INDEX(MAT[Einheit],$CJ49,1),0))</f>
        <v>0</v>
      </c>
      <c r="AT49" s="620" cm="1">
        <f t="array" ref="AT49">IF($CJ49=0,0,IFERROR(INDEX(MAT[Preis],$CJ49,1),0))</f>
        <v>0</v>
      </c>
      <c r="AU49" s="621">
        <f>$AR49*$AT49</f>
        <v>0</v>
      </c>
      <c r="AV49" s="622" cm="1">
        <f t="array" ref="AV49">IF($AU49&lt;=0,0,INDEX(Premises!$A$30:$F$30,1,$CH49)/100)</f>
        <v>0</v>
      </c>
      <c r="AW49" s="392"/>
      <c r="AX49" s="614">
        <f>IF($AV49=0,0,($AU49+$AW49)*$AV49)</f>
        <v>0</v>
      </c>
      <c r="AY49" s="623" cm="1">
        <f t="array" ref="AY49">IF($AT49&lt;=0,0,IFERROR(IF(INDEX(Premises!$A$42:$F$42,1,$CH49)&lt;&gt;0,INDEX(Premises!$A$42:$F$42,1,$CH49)/100,(INDEX(MAT[],$CJ49,MATCH($CA49,MAT!$B$4:$AE$4,0))/($AR49*$CK49*INDEX(Premises!$A$13:$F$13,1,$CH49))+INDEX(MAT[],$CJ49,MATCH($CA49,MAT!$B$4:$AE$4,0)+7))/$AT49),0))</f>
        <v>0</v>
      </c>
      <c r="AZ49" s="614">
        <f>IF($AY49=0,0,($AU49+$AX49)*$AY49)</f>
        <v>0</v>
      </c>
      <c r="BA49" s="618">
        <f>$AU49+$AX49+$AZ49</f>
        <v>0</v>
      </c>
      <c r="BB49" s="618">
        <f>$AP49+$BA49</f>
        <v>0</v>
      </c>
      <c r="BC49" s="622" cm="1">
        <f t="array" ref="BC49">IF($BB49&lt;=0,0,IF(BC$2=-1,0,INDEX(Premises!$A$32:$F$32,1,$CH49)/100))</f>
        <v>0</v>
      </c>
      <c r="BD49" s="614">
        <f>IF($AP49&lt;=0,0,($AP49-$AA49-$AL49)*$BC49)</f>
        <v>0</v>
      </c>
      <c r="BE49" s="622" cm="1">
        <f t="array" ref="BE49">IF($BB49&lt;=0,0,IF(BE$2=-1,0,INDEX(Premises!$A$33:$F$33,1,$CH49)/100))</f>
        <v>0</v>
      </c>
      <c r="BF49" s="614">
        <f>IF($BA49&lt;=0,0,$BA49*$BE49)</f>
        <v>0</v>
      </c>
      <c r="BG49" s="622" cm="1">
        <f t="array" ref="BG49">IF($BB49&lt;=0,0,IF(BG$2=-1,0,INDEX(Premises!$A$31:$F$31,1,$CH49)/100))</f>
        <v>0</v>
      </c>
      <c r="BH49" s="614">
        <f>(($AP49-$AA49-$AL49)+$BA49)*$BG49</f>
        <v>0</v>
      </c>
      <c r="BI49" s="618">
        <f>$BB49+$BD49+$BF49+$BH49</f>
        <v>0</v>
      </c>
      <c r="BJ49" s="622" cm="1">
        <f t="array" ref="BJ49">IF($BB49&lt;=0,0,IF(BJ$2=-1,0,INDEX(Premises!$A$35:$F$35,1,$CH49)/100))</f>
        <v>0</v>
      </c>
      <c r="BK49" s="614">
        <f>IF($AP49&lt;=0,0,($AP49-$AL49-$AA49)*$BJ49)</f>
        <v>0</v>
      </c>
      <c r="BL49" s="622" cm="1">
        <f t="array" ref="BL49">IF($BB49&lt;=0,0,IF(BL$2=-1,0,INDEX(Premises!$A$36:$F$36,1,$CH49)/100))</f>
        <v>0</v>
      </c>
      <c r="BM49" s="614">
        <f>IF($AU49&lt;=0,0,($AR49*$AT49)*$BL49)</f>
        <v>0</v>
      </c>
      <c r="BN49" s="622" cm="1">
        <f t="array" ref="BN49">IF($BB49&lt;=0,0,IF(BN$2=-1,0,INDEX(Premises!$A$34:$F$34,1,$CH49)/100))</f>
        <v>0</v>
      </c>
      <c r="BO49" s="614">
        <f>(($AP49-$AL49-$AA49)+($AR49*$AT49))*$BN49</f>
        <v>0</v>
      </c>
      <c r="BP49" s="622" cm="1">
        <f t="array" ref="BP49">IF($BI49=0,0,INDEX(Premises!$A$37:$F$37,1,$CH49)/100)</f>
        <v>0</v>
      </c>
      <c r="BQ49" s="392"/>
      <c r="BR49" s="614">
        <f>($BI49+$BK49+$BM49+$BO49)*$BP49+$BQ49</f>
        <v>0</v>
      </c>
      <c r="BS49" s="624">
        <f>BI49+BK49+BM49+BO49+BR49</f>
        <v>0</v>
      </c>
      <c r="BT49" s="624">
        <f>IF($BS49=0,0,$CK49*$BS49)</f>
        <v>0</v>
      </c>
      <c r="BU49" s="625">
        <f>IF($BT49=0,0,MAX(1,$EB49/$DP49))</f>
        <v>0</v>
      </c>
      <c r="BV49" s="400"/>
      <c r="BW49" s="401"/>
      <c r="BX49" s="401"/>
      <c r="BY49" s="402"/>
      <c r="BZ49" s="946"/>
      <c r="CA49" s="263" cm="1">
        <f t="array" ref="CA49">IF($BZ49&gt;0,VALUE(LEFT($BZ49,IF(ISERROR(FIND("-",$BZ49)),LEN($BZ49),FIND("-",$BZ49)-1))),INDEX($CA$1:$CA49,MAX(1,$CD49)))</f>
        <v>1</v>
      </c>
      <c r="CB49" s="263" cm="1">
        <f t="array" ref="CB49">IF($BT49=0,0,IF(LEN($BZ49)-LEN(SUBSTITUTE($BZ49,"-",""))&gt;1,
VALUE(MID($BZ49,FIND("-",$BZ49)+1,FIND("-",$BZ49,FIND("-",$BZ49)+1)-FIND("-",$BZ49)-1)),IF($BZ49&gt;0,0,INDEX($CB$1:$CB49,MAX(1,$CD49)))))</f>
        <v>0</v>
      </c>
      <c r="CC49" s="263" cm="1">
        <f t="array" ref="CC49">IF($BT49=0,0,IF(NOT(ISERROR(FIND("-",BZ49))),
VALUE(RIGHT($BZ49,LEN($BZ49)-IF(LEN($BZ49)-LEN(SUBSTITUTE($BZ49,"-",""))=1,FIND("-",$BZ49),FIND("-",$BZ49,FIND("-",$BZ49)+1)))),
IF($BZ49&gt;0,0,INDEX($CC$1:$CC49,MAX(1,$CD49)))))</f>
        <v>0</v>
      </c>
      <c r="CD49" s="376">
        <f>MATCH(0,$CE$1:$CE49,-1)</f>
        <v>47</v>
      </c>
      <c r="CE49" s="263"/>
      <c r="CF49" s="377"/>
      <c r="CG49" s="376" cm="1">
        <f t="array" ref="CG49">INDEX($CG$1:$CG49,$CD49)</f>
        <v>7</v>
      </c>
      <c r="CH49" s="263">
        <f>MATCH($CA49,Premises!$A$10:$F$10,0)</f>
        <v>4</v>
      </c>
      <c r="CI49" s="263">
        <f>IF(ISBLANK($E49),0,IFERROR(MATCH($E49,MHR[Bezeichnung],0),0))</f>
        <v>0</v>
      </c>
      <c r="CJ49" s="377">
        <f>IF(ISBLANK($AQ49),0,IFERROR(MATCH($AQ49,MAT[Bezeichnung],0),0))</f>
        <v>0</v>
      </c>
      <c r="CK49" s="263" cm="1">
        <f t="array" ref="CK49">INDEX($D$1:$D49,$CD49)</f>
        <v>1</v>
      </c>
      <c r="CL49" s="263"/>
      <c r="CM49" s="378"/>
      <c r="CN49" s="379" cm="1">
        <f t="array" ref="CN49">IF($CB49=0,0,IF($CB49=INDEX($CB$1:$CB49,$CD49),INDEX($CN$1:$CN49,$CD49),$CP49))</f>
        <v>0</v>
      </c>
      <c r="CO49" s="378"/>
      <c r="CP49" s="379" cm="1">
        <f t="array" ref="CP49">IF($CC49=0,0,INDEX($CP$1:$CP49,$CD49))</f>
        <v>0</v>
      </c>
      <c r="CQ49" s="380"/>
      <c r="CR49" s="381"/>
      <c r="CS49" s="381"/>
      <c r="CT49" s="948"/>
      <c r="CU49" s="2"/>
      <c r="CV49" s="630">
        <f>$J49*$CK49</f>
        <v>0</v>
      </c>
      <c r="CW49" s="631">
        <f>$R49*$CK49</f>
        <v>0</v>
      </c>
      <c r="CX49" s="631">
        <f>$V49*$CK49</f>
        <v>0</v>
      </c>
      <c r="CY49" s="631">
        <f>$AA49*$CK49</f>
        <v>0</v>
      </c>
      <c r="CZ49" s="631">
        <f>$AF49*$CK49</f>
        <v>0</v>
      </c>
      <c r="DA49" s="631">
        <f>$AL49*$CK49</f>
        <v>0</v>
      </c>
      <c r="DB49" s="631">
        <f>$AO49*$CK49</f>
        <v>0</v>
      </c>
      <c r="DC49" s="632">
        <f>$AP49*$CK49</f>
        <v>0</v>
      </c>
      <c r="DD49" s="631">
        <f>$AU49*$CK49</f>
        <v>0</v>
      </c>
      <c r="DE49" s="631">
        <f>$AX49*$CK49</f>
        <v>0</v>
      </c>
      <c r="DF49" s="631">
        <f>$AZ49*$CK49</f>
        <v>0</v>
      </c>
      <c r="DG49" s="632">
        <f>$BA49*$CK49</f>
        <v>0</v>
      </c>
      <c r="DH49" s="632">
        <f>$BB49*$CK49</f>
        <v>0</v>
      </c>
      <c r="DI49" s="631">
        <f>$BD49*$CK49</f>
        <v>0</v>
      </c>
      <c r="DJ49" s="631">
        <f>$BF49*$CK49</f>
        <v>0</v>
      </c>
      <c r="DK49" s="631">
        <f>$BH49*$CK49</f>
        <v>0</v>
      </c>
      <c r="DL49" s="631">
        <f>$BK49*$CK49</f>
        <v>0</v>
      </c>
      <c r="DM49" s="631">
        <f>$BM49*$CK49</f>
        <v>0</v>
      </c>
      <c r="DN49" s="631">
        <f>$BO49*$CK49</f>
        <v>0</v>
      </c>
      <c r="DO49" s="631">
        <f>$BR49*$CK49</f>
        <v>0</v>
      </c>
      <c r="DP49" s="634">
        <f>$CK49*($BB49+$BD49+$BF49+$BH49+$BK49+$BM49+$BO49+$BR49)</f>
        <v>0</v>
      </c>
      <c r="DQ49" s="929">
        <f>IF($CB49=0,0,$DP49*_xlfn.XLOOKUP($CB49,Premises!$A$10:$F$10,Premises!$A$30:$F$30)/100)</f>
        <v>0</v>
      </c>
      <c r="DR49" s="633">
        <f>IFERROR(SUM($DP49:$DQ49)*IF(INDEX(Premises!$A$42:$F$42,1,MATCH($CB49,Premises!$A$10:$F$10,0))&gt;0,INDEX(Premises!$A$42:$F$42,1,MATCH($CB49,Premises!$A$10:$F$10,0))%,$CN49),0)</f>
        <v>0</v>
      </c>
      <c r="DS49" s="633" cm="1">
        <f t="array" ref="DS49">IF($CB49=0,0,SUM($DP49:$DR49)*_xlfn.XLOOKUP($CB49,Premises!$A$10:$F$10,IF(INDEX(Settings[],MATCH(3001,Settings[ID],0),2)="B",Premises!$A$33:$F$33,Premises!$A$31:$F$31))/100)</f>
        <v>0</v>
      </c>
      <c r="DT49" s="633" cm="1">
        <f t="array" ref="DT49">IF($CB49=0,0,$DP49*_xlfn.XLOOKUP($CB49,Premises!$A$10:$F$10,IF(INDEX(Settings[],MATCH(3002,Settings[ID],0),2)="B",Premises!$A$36:$F$36,Premises!$A$34:$F$34))/100)</f>
        <v>0</v>
      </c>
      <c r="DU49" s="633">
        <f>IF($CB49=0,0,SUM($DP49:$DT49)*_xlfn.XLOOKUP($CB49,Premises!$A$10:$F$10,Premises!$A$37:$F$37)/100)</f>
        <v>0</v>
      </c>
      <c r="DV49" s="932">
        <f>SUM($DP49:$DU49)</f>
        <v>0</v>
      </c>
      <c r="DW49" s="929">
        <f>IF($CC49=0,0,$DV49*_xlfn.XLOOKUP($CC49,Premises!$A$10:$F$10,Premises!$A$30:$F$30)/100)</f>
        <v>0</v>
      </c>
      <c r="DX49" s="633">
        <f>IFERROR(SUM($DV49:$DW49)*IF(INDEX(Premises!$A$42:$F$42,1,MATCH($CC49,Premises!$A$10:$F$10,0))&gt;0,INDEX(Premises!$A$42:$F$42,1,MATCH($CC49,Premises!$A$10:$F$10,0))%,$CP49),0)</f>
        <v>0</v>
      </c>
      <c r="DY49" s="633" cm="1">
        <f t="array" ref="DY49">IF($CC49=0,0,SUM($DV49:$DX49)*_xlfn.XLOOKUP($CC49,Premises!$A$10:$F$10,IF(INDEX(Settings[],MATCH(3001,Settings[ID],0),2)="B",Premises!$A$33:$F$33,Premises!$A$31:$F$31))/100)</f>
        <v>0</v>
      </c>
      <c r="DZ49" s="633" cm="1">
        <f t="array" ref="DZ49">IF($CC49=0,0,$DV49*_xlfn.XLOOKUP($CC49,Premises!$A$10:$F$10,IF(INDEX(Settings[],MATCH(3002,Settings[ID],0),2)="B",Premises!$A$36:$F$36,Premises!$A$34:$F$34))/100)</f>
        <v>0</v>
      </c>
      <c r="EA49" s="633">
        <f>IF($CC49=0,0,SUM($DV49:$DZ49)*_xlfn.XLOOKUP($CC49,Premises!$A$10:$F$10,Premises!$A$37:$F$37)/100)</f>
        <v>0</v>
      </c>
      <c r="EB49" s="634">
        <f>SUM($DV49:$EA49)</f>
        <v>0</v>
      </c>
      <c r="EC49" s="783"/>
      <c r="ED49" s="1082"/>
      <c r="EE49" s="633"/>
      <c r="EF49" s="1088"/>
      <c r="EG49" s="1086"/>
      <c r="EH49" s="1086"/>
      <c r="EI49" s="1086"/>
      <c r="EJ49" s="1086"/>
      <c r="EK49" s="1086"/>
      <c r="EL49" s="1086"/>
      <c r="EM49" s="1088"/>
      <c r="EN49" s="1086"/>
      <c r="EO49" s="1086"/>
      <c r="EP49" s="1086"/>
      <c r="EQ49" s="1086"/>
      <c r="ER49" s="1088"/>
      <c r="ES49" s="1086"/>
      <c r="ET49" s="1086"/>
      <c r="EU49" s="1086"/>
      <c r="EV49" s="1086"/>
      <c r="EW49" s="1086"/>
      <c r="EX49" s="1089"/>
      <c r="EY49" s="2"/>
      <c r="EZ49" s="2"/>
      <c r="FA49" s="2"/>
      <c r="FB49" s="2"/>
      <c r="FC49" s="2"/>
      <c r="FD49" s="2"/>
      <c r="FE49" s="2"/>
      <c r="FF49" s="2"/>
      <c r="FG49" s="2"/>
      <c r="FH49" s="2"/>
      <c r="FI49" s="2"/>
      <c r="FJ49" s="403"/>
      <c r="FK49" s="404"/>
      <c r="FL49" s="405"/>
      <c r="FM49" s="948"/>
    </row>
    <row r="50" spans="1:169" s="13" customFormat="1" ht="12.75" customHeight="1">
      <c r="A50" s="215"/>
      <c r="B50" s="385"/>
      <c r="C50" s="386"/>
      <c r="D50" s="629"/>
      <c r="E50" s="387"/>
      <c r="F50" s="388"/>
      <c r="G50" s="388"/>
      <c r="H50" s="388"/>
      <c r="I50" s="620" cm="1">
        <f t="array" ref="I50">IF($CI50=0,0,IFERROR(INDEX(MHR[],$CI50,MATCH($CA50,MHR!$B$4:$AY$4,0)),0))</f>
        <v>0</v>
      </c>
      <c r="J50" s="617">
        <f>IF(COUNTBLANK($E50:$H50),0,IFERROR($F50/$H50/IF($G50="s",3600,IF($G50="min",60,IF($G50="h",1,0)))*I50,0))</f>
        <v>0</v>
      </c>
      <c r="K50" s="389"/>
      <c r="L50" s="390"/>
      <c r="M50" s="849"/>
      <c r="N50" s="390"/>
      <c r="O50" s="388"/>
      <c r="P50" s="628" cm="1">
        <f t="array" ref="P50">IF($K50=0,0,IFERROR(ROUNDUP(IF(ISNUMBER($K50),$K50,INDEX($D$1:$D50,$CD50)*INDEX(Premises!$A$13:$F$13,1,$CH50)/IF(OR($K50="T",$K50="D"),250,IF($K50="W",50,IF($K50="M",12,IF(OR($K50="HJ",$K50="HY"),2,IF(OR($K50="J",$K50="Y"),1,0)))))),0),0))</f>
        <v>0</v>
      </c>
      <c r="Q50" s="620" cm="1">
        <f t="array" ref="Q50">IF($K50=0,0,IFERROR(INDEX(Premises!$A$22:$F$22,1,$CH50)*100/INDEX(Premises!$A$16:$F$16,1,$CH50),0))</f>
        <v>0</v>
      </c>
      <c r="R50" s="617">
        <f>IF($P50=0,0,IFERROR(($L50/60*($I50+$Q50*$M50)+($N50/60*($Q50*$O50)))/$P50,0))</f>
        <v>0</v>
      </c>
      <c r="S50" s="391"/>
      <c r="T50" s="392"/>
      <c r="U50" s="620" cm="1">
        <f t="array" ref="U50">IF(COUNTBLANK($S50:$T50),0,
IF(AND(INDEX(MHR[Schichtmodell],$CI50)&lt;&gt;0,INDEX(MHR[Schichtmodell],$CI50)&lt;&gt;INDEX(Premises!$A$20:$F$20,1,$CH50)),ExchangeRate*
IF(OR($T50="M",$T50="U"),IF(INDEX(MHR[Schichtmodell],$CI50)=1,INDEX(LOC[M1S],INDEX(Premises!$A$18:$F$18,1,$CH50+1)),IF(INDEX(MHR[Schichtmodell],$CI50)=2,INDEX(LOC[M2S],INDEX(Premises!$A$18:$F$18,1,$CH50+1),IF(INDEX(MHR[Schichtmodell],$CI50)=3,INDEX(LOC[M3S],INDEX(Premises!$A$18:$F$18,1,$CH50+1)),0)))),
IF(INDEX(MHR[Schichtmodell],$CI50)=1,INDEX(LOC[F1S],INDEX(Premises!$A$18:$F$18,1,$CH50+1)),IF(INDEX(MHR[Schichtmodell],$CI50)=2,INDEX(LOC[F2S],INDEX(Premises!$A$18:$F$18,1,$CH50+1)),IF(INDEX(MHR[Schichtmodell],$CI50)=3,INDEX(LOC[F3S],INDEX(Premises!$A$18:$F$18,1,$CH50+1)),0)))),
IF(OR($T50="M",$T50="U"),INDEX(Premises!$A$21:$F$21,1,$CH50),
IF(OR($T50="F",$T50="S"),INDEX(Premises!$A$22:$F$22,1,$CH50),0)))*100/INDEX(Premises!$A$16:$F$16,1,$CH50))</f>
        <v>0</v>
      </c>
      <c r="V50" s="614">
        <f>IF($U50=0,0,IFERROR($F50/$H50/IF($G50="s",3600,IF($G50="min",60,IF($G50="h",1,0)))*$S50*$U50,0))</f>
        <v>0</v>
      </c>
      <c r="W50" s="393"/>
      <c r="X50" s="386"/>
      <c r="Y50" s="394"/>
      <c r="Z50" s="395"/>
      <c r="AA50" s="611">
        <f>IFERROR($X50*$Z50/$Y50/MAX(1,$H50),0)</f>
        <v>0</v>
      </c>
      <c r="AB50" s="393"/>
      <c r="AC50" s="386"/>
      <c r="AD50" s="394"/>
      <c r="AE50" s="396"/>
      <c r="AF50" s="611">
        <f>IFERROR($AC50*$AE50/$AD50,0)</f>
        <v>0</v>
      </c>
      <c r="AG50" s="612" cm="1">
        <f t="array" ref="AG50">IF(($J50+$V50+$AF50)=0,0,INDEX(Premises!$A$30:$F$30,1,$CH50)/100)</f>
        <v>0</v>
      </c>
      <c r="AH50" s="397"/>
      <c r="AI50" s="398"/>
      <c r="AJ50" s="399"/>
      <c r="AK50" s="613">
        <f>IF(COUNTBLANK($AH50:$AI50),0,$AH50*$AI50*$AG50)</f>
        <v>0</v>
      </c>
      <c r="AL50" s="614">
        <f>($AK50+$AJ50*$AG50*(1-$AH50)+($J50+$V50+$AF50)*$AG50*(1-$AH50))</f>
        <v>0</v>
      </c>
      <c r="AM50" s="615" cm="1">
        <f t="array" ref="AM50">IF($CI50=0,0,IFERROR(INDEX(MHR[],$CI50,MATCH($CA50,MHR!$B$4:$AY$4,0)+11),0))</f>
        <v>0</v>
      </c>
      <c r="AN50" s="616" cm="1">
        <f t="array" ref="AN50">IF(($J50+$V50)=0,0,IFERROR(IF(INDEX(Premises!$A$41:$F$41,1,$CH50)&lt;&gt;0,INDEX(Premises!$A$41:$F$41,1,$CH50)/100,(IFERROR(($J50/$I50)*$AM50,0)/($V50+$J50+$R50+$AL50))),0))</f>
        <v>0</v>
      </c>
      <c r="AO50" s="617">
        <f>IF(($J50+$V50)=0,0,IF(IFERROR(($J50+$R50+$V50+$AL50)*$AN50,0)&lt;&gt;IFERROR(($J50/$I50)*$AM50,0),($J50+$R50+$V50+$AL50)*$AN50,IFERROR(($J50/$I50)*$AM50,0)))</f>
        <v>0</v>
      </c>
      <c r="AP50" s="618">
        <f>$V50+$J50+$R50+$AA50+$AF50+$AL50+$AO50</f>
        <v>0</v>
      </c>
      <c r="AQ50" s="393"/>
      <c r="AR50" s="392"/>
      <c r="AS50" s="619" cm="1">
        <f t="array" ref="AS50">IF($CJ50=0,0,IFERROR(INDEX(MAT[Einheit],$CJ50,1),0))</f>
        <v>0</v>
      </c>
      <c r="AT50" s="620" cm="1">
        <f t="array" ref="AT50">IF($CJ50=0,0,IFERROR(INDEX(MAT[Preis],$CJ50,1),0))</f>
        <v>0</v>
      </c>
      <c r="AU50" s="621">
        <f>$AR50*$AT50</f>
        <v>0</v>
      </c>
      <c r="AV50" s="622" cm="1">
        <f t="array" ref="AV50">IF($AU50&lt;=0,0,INDEX(Premises!$A$30:$F$30,1,$CH50)/100)</f>
        <v>0</v>
      </c>
      <c r="AW50" s="392"/>
      <c r="AX50" s="614">
        <f>IF($AV50=0,0,($AU50+$AW50)*$AV50)</f>
        <v>0</v>
      </c>
      <c r="AY50" s="623" cm="1">
        <f t="array" ref="AY50">IF($AT50&lt;=0,0,IFERROR(IF(INDEX(Premises!$A$42:$F$42,1,$CH50)&lt;&gt;0,INDEX(Premises!$A$42:$F$42,1,$CH50)/100,(INDEX(MAT[],$CJ50,MATCH($CA50,MAT!$B$4:$AE$4,0))/($AR50*$CK50*INDEX(Premises!$A$13:$F$13,1,$CH50))+INDEX(MAT[],$CJ50,MATCH($CA50,MAT!$B$4:$AE$4,0)+7))/$AT50),0))</f>
        <v>0</v>
      </c>
      <c r="AZ50" s="614">
        <f>IF($AY50=0,0,($AU50+$AX50)*$AY50)</f>
        <v>0</v>
      </c>
      <c r="BA50" s="618">
        <f>$AU50+$AX50+$AZ50</f>
        <v>0</v>
      </c>
      <c r="BB50" s="618">
        <f>$AP50+$BA50</f>
        <v>0</v>
      </c>
      <c r="BC50" s="622" cm="1">
        <f t="array" ref="BC50">IF($BB50&lt;=0,0,IF(BC$2=-1,0,INDEX(Premises!$A$32:$F$32,1,$CH50)/100))</f>
        <v>0</v>
      </c>
      <c r="BD50" s="614">
        <f>IF($AP50&lt;=0,0,($AP50-$AA50-$AL50)*$BC50)</f>
        <v>0</v>
      </c>
      <c r="BE50" s="622" cm="1">
        <f t="array" ref="BE50">IF($BB50&lt;=0,0,IF(BE$2=-1,0,INDEX(Premises!$A$33:$F$33,1,$CH50)/100))</f>
        <v>0</v>
      </c>
      <c r="BF50" s="614">
        <f>IF($BA50&lt;=0,0,$BA50*$BE50)</f>
        <v>0</v>
      </c>
      <c r="BG50" s="622" cm="1">
        <f t="array" ref="BG50">IF($BB50&lt;=0,0,IF(BG$2=-1,0,INDEX(Premises!$A$31:$F$31,1,$CH50)/100))</f>
        <v>0</v>
      </c>
      <c r="BH50" s="614">
        <f>(($AP50-$AA50-$AL50)+$BA50)*$BG50</f>
        <v>0</v>
      </c>
      <c r="BI50" s="618">
        <f>$BB50+$BD50+$BF50+$BH50</f>
        <v>0</v>
      </c>
      <c r="BJ50" s="622" cm="1">
        <f t="array" ref="BJ50">IF($BB50&lt;=0,0,IF(BJ$2=-1,0,INDEX(Premises!$A$35:$F$35,1,$CH50)/100))</f>
        <v>0</v>
      </c>
      <c r="BK50" s="614">
        <f>IF($AP50&lt;=0,0,($AP50-$AL50-$AA50)*$BJ50)</f>
        <v>0</v>
      </c>
      <c r="BL50" s="622" cm="1">
        <f t="array" ref="BL50">IF($BB50&lt;=0,0,IF(BL$2=-1,0,INDEX(Premises!$A$36:$F$36,1,$CH50)/100))</f>
        <v>0</v>
      </c>
      <c r="BM50" s="614">
        <f>IF($AU50&lt;=0,0,($AR50*$AT50)*$BL50)</f>
        <v>0</v>
      </c>
      <c r="BN50" s="622" cm="1">
        <f t="array" ref="BN50">IF($BB50&lt;=0,0,IF(BN$2=-1,0,INDEX(Premises!$A$34:$F$34,1,$CH50)/100))</f>
        <v>0</v>
      </c>
      <c r="BO50" s="614">
        <f>(($AP50-$AL50-$AA50)+($AR50*$AT50))*$BN50</f>
        <v>0</v>
      </c>
      <c r="BP50" s="622" cm="1">
        <f t="array" ref="BP50">IF($BI50=0,0,INDEX(Premises!$A$37:$F$37,1,$CH50)/100)</f>
        <v>0</v>
      </c>
      <c r="BQ50" s="392"/>
      <c r="BR50" s="614">
        <f>($BI50+$BK50+$BM50+$BO50)*$BP50+$BQ50</f>
        <v>0</v>
      </c>
      <c r="BS50" s="624">
        <f>BI50+BK50+BM50+BO50+BR50</f>
        <v>0</v>
      </c>
      <c r="BT50" s="624">
        <f>IF($BS50=0,0,$CK50*$BS50)</f>
        <v>0</v>
      </c>
      <c r="BU50" s="625">
        <f>IF($BT50=0,0,MAX(1,$EB50/$DP50))</f>
        <v>0</v>
      </c>
      <c r="BV50" s="400"/>
      <c r="BW50" s="401"/>
      <c r="BX50" s="401"/>
      <c r="BY50" s="402"/>
      <c r="BZ50" s="946"/>
      <c r="CA50" s="263" cm="1">
        <f t="array" ref="CA50">IF($BZ50&gt;0,VALUE(LEFT($BZ50,IF(ISERROR(FIND("-",$BZ50)),LEN($BZ50),FIND("-",$BZ50)-1))),INDEX($CA$1:$CA50,MAX(1,$CD50)))</f>
        <v>1</v>
      </c>
      <c r="CB50" s="263" cm="1">
        <f t="array" ref="CB50">IF($BT50=0,0,IF(LEN($BZ50)-LEN(SUBSTITUTE($BZ50,"-",""))&gt;1,
VALUE(MID($BZ50,FIND("-",$BZ50)+1,FIND("-",$BZ50,FIND("-",$BZ50)+1)-FIND("-",$BZ50)-1)),IF($BZ50&gt;0,0,INDEX($CB$1:$CB50,MAX(1,$CD50)))))</f>
        <v>0</v>
      </c>
      <c r="CC50" s="263" cm="1">
        <f t="array" ref="CC50">IF($BT50=0,0,IF(NOT(ISERROR(FIND("-",BZ50))),
VALUE(RIGHT($BZ50,LEN($BZ50)-IF(LEN($BZ50)-LEN(SUBSTITUTE($BZ50,"-",""))=1,FIND("-",$BZ50),FIND("-",$BZ50,FIND("-",$BZ50)+1)))),
IF($BZ50&gt;0,0,INDEX($CC$1:$CC50,MAX(1,$CD50)))))</f>
        <v>0</v>
      </c>
      <c r="CD50" s="376">
        <f>MATCH(0,$CE$1:$CE50,-1)</f>
        <v>47</v>
      </c>
      <c r="CE50" s="263"/>
      <c r="CF50" s="377"/>
      <c r="CG50" s="376" cm="1">
        <f t="array" ref="CG50">INDEX($CG$1:$CG50,$CD50)</f>
        <v>7</v>
      </c>
      <c r="CH50" s="263">
        <f>MATCH($CA50,Premises!$A$10:$F$10,0)</f>
        <v>4</v>
      </c>
      <c r="CI50" s="263">
        <f>IF(ISBLANK($E50),0,IFERROR(MATCH($E50,MHR[Bezeichnung],0),0))</f>
        <v>0</v>
      </c>
      <c r="CJ50" s="377">
        <f>IF(ISBLANK($AQ50),0,IFERROR(MATCH($AQ50,MAT[Bezeichnung],0),0))</f>
        <v>0</v>
      </c>
      <c r="CK50" s="263" cm="1">
        <f t="array" ref="CK50">INDEX($D$1:$D50,$CD50)</f>
        <v>1</v>
      </c>
      <c r="CL50" s="263"/>
      <c r="CM50" s="378"/>
      <c r="CN50" s="379" cm="1">
        <f t="array" ref="CN50">IF($CB50=0,0,IF($CB50=INDEX($CB$1:$CB50,$CD50),INDEX($CN$1:$CN50,$CD50),$CP50))</f>
        <v>0</v>
      </c>
      <c r="CO50" s="378"/>
      <c r="CP50" s="379" cm="1">
        <f t="array" ref="CP50">IF($CC50=0,0,INDEX($CP$1:$CP50,$CD50))</f>
        <v>0</v>
      </c>
      <c r="CQ50" s="380"/>
      <c r="CR50" s="381"/>
      <c r="CS50" s="381"/>
      <c r="CT50" s="948"/>
      <c r="CU50" s="2"/>
      <c r="CV50" s="630">
        <f>$J50*$CK50</f>
        <v>0</v>
      </c>
      <c r="CW50" s="631">
        <f>$R50*$CK50</f>
        <v>0</v>
      </c>
      <c r="CX50" s="631">
        <f>$V50*$CK50</f>
        <v>0</v>
      </c>
      <c r="CY50" s="631">
        <f>$AA50*$CK50</f>
        <v>0</v>
      </c>
      <c r="CZ50" s="631">
        <f>$AF50*$CK50</f>
        <v>0</v>
      </c>
      <c r="DA50" s="631">
        <f>$AL50*$CK50</f>
        <v>0</v>
      </c>
      <c r="DB50" s="631">
        <f>$AO50*$CK50</f>
        <v>0</v>
      </c>
      <c r="DC50" s="632">
        <f>$AP50*$CK50</f>
        <v>0</v>
      </c>
      <c r="DD50" s="631">
        <f>$AU50*$CK50</f>
        <v>0</v>
      </c>
      <c r="DE50" s="631">
        <f>$AX50*$CK50</f>
        <v>0</v>
      </c>
      <c r="DF50" s="631">
        <f>$AZ50*$CK50</f>
        <v>0</v>
      </c>
      <c r="DG50" s="632">
        <f>$BA50*$CK50</f>
        <v>0</v>
      </c>
      <c r="DH50" s="632">
        <f>$BB50*$CK50</f>
        <v>0</v>
      </c>
      <c r="DI50" s="631">
        <f>$BD50*$CK50</f>
        <v>0</v>
      </c>
      <c r="DJ50" s="631">
        <f>$BF50*$CK50</f>
        <v>0</v>
      </c>
      <c r="DK50" s="631">
        <f>$BH50*$CK50</f>
        <v>0</v>
      </c>
      <c r="DL50" s="631">
        <f>$BK50*$CK50</f>
        <v>0</v>
      </c>
      <c r="DM50" s="631">
        <f>$BM50*$CK50</f>
        <v>0</v>
      </c>
      <c r="DN50" s="631">
        <f>$BO50*$CK50</f>
        <v>0</v>
      </c>
      <c r="DO50" s="631">
        <f>$BR50*$CK50</f>
        <v>0</v>
      </c>
      <c r="DP50" s="634">
        <f>$CK50*($BB50+$BD50+$BF50+$BH50+$BK50+$BM50+$BO50+$BR50)</f>
        <v>0</v>
      </c>
      <c r="DQ50" s="929">
        <f>IF($CB50=0,0,$DP50*_xlfn.XLOOKUP($CB50,Premises!$A$10:$F$10,Premises!$A$30:$F$30)/100)</f>
        <v>0</v>
      </c>
      <c r="DR50" s="633">
        <f>IFERROR(SUM($DP50:$DQ50)*IF(INDEX(Premises!$A$42:$F$42,1,MATCH($CB50,Premises!$A$10:$F$10,0))&gt;0,INDEX(Premises!$A$42:$F$42,1,MATCH($CB50,Premises!$A$10:$F$10,0))%,$CN50),0)</f>
        <v>0</v>
      </c>
      <c r="DS50" s="633" cm="1">
        <f t="array" ref="DS50">IF($CB50=0,0,SUM($DP50:$DR50)*_xlfn.XLOOKUP($CB50,Premises!$A$10:$F$10,IF(INDEX(Settings[],MATCH(3001,Settings[ID],0),2)="B",Premises!$A$33:$F$33,Premises!$A$31:$F$31))/100)</f>
        <v>0</v>
      </c>
      <c r="DT50" s="633" cm="1">
        <f t="array" ref="DT50">IF($CB50=0,0,$DP50*_xlfn.XLOOKUP($CB50,Premises!$A$10:$F$10,IF(INDEX(Settings[],MATCH(3002,Settings[ID],0),2)="B",Premises!$A$36:$F$36,Premises!$A$34:$F$34))/100)</f>
        <v>0</v>
      </c>
      <c r="DU50" s="633">
        <f>IF($CB50=0,0,SUM($DP50:$DT50)*_xlfn.XLOOKUP($CB50,Premises!$A$10:$F$10,Premises!$A$37:$F$37)/100)</f>
        <v>0</v>
      </c>
      <c r="DV50" s="932">
        <f>SUM($DP50:$DU50)</f>
        <v>0</v>
      </c>
      <c r="DW50" s="929">
        <f>IF($CC50=0,0,$DV50*_xlfn.XLOOKUP($CC50,Premises!$A$10:$F$10,Premises!$A$30:$F$30)/100)</f>
        <v>0</v>
      </c>
      <c r="DX50" s="633">
        <f>IFERROR(SUM($DV50:$DW50)*IF(INDEX(Premises!$A$42:$F$42,1,MATCH($CC50,Premises!$A$10:$F$10,0))&gt;0,INDEX(Premises!$A$42:$F$42,1,MATCH($CC50,Premises!$A$10:$F$10,0))%,$CP50),0)</f>
        <v>0</v>
      </c>
      <c r="DY50" s="633" cm="1">
        <f t="array" ref="DY50">IF($CC50=0,0,SUM($DV50:$DX50)*_xlfn.XLOOKUP($CC50,Premises!$A$10:$F$10,IF(INDEX(Settings[],MATCH(3001,Settings[ID],0),2)="B",Premises!$A$33:$F$33,Premises!$A$31:$F$31))/100)</f>
        <v>0</v>
      </c>
      <c r="DZ50" s="633" cm="1">
        <f t="array" ref="DZ50">IF($CC50=0,0,$DV50*_xlfn.XLOOKUP($CC50,Premises!$A$10:$F$10,IF(INDEX(Settings[],MATCH(3002,Settings[ID],0),2)="B",Premises!$A$36:$F$36,Premises!$A$34:$F$34))/100)</f>
        <v>0</v>
      </c>
      <c r="EA50" s="633">
        <f>IF($CC50=0,0,SUM($DV50:$DZ50)*_xlfn.XLOOKUP($CC50,Premises!$A$10:$F$10,Premises!$A$37:$F$37)/100)</f>
        <v>0</v>
      </c>
      <c r="EB50" s="634">
        <f>SUM($DV50:$EA50)</f>
        <v>0</v>
      </c>
      <c r="EC50" s="783"/>
      <c r="ED50" s="1082"/>
      <c r="EE50" s="633"/>
      <c r="EF50" s="1088"/>
      <c r="EG50" s="1086"/>
      <c r="EH50" s="1086"/>
      <c r="EI50" s="1086"/>
      <c r="EJ50" s="1086"/>
      <c r="EK50" s="1086"/>
      <c r="EL50" s="1086"/>
      <c r="EM50" s="1088"/>
      <c r="EN50" s="1086"/>
      <c r="EO50" s="1086"/>
      <c r="EP50" s="1086"/>
      <c r="EQ50" s="1086"/>
      <c r="ER50" s="1088"/>
      <c r="ES50" s="1086"/>
      <c r="ET50" s="1086"/>
      <c r="EU50" s="1086"/>
      <c r="EV50" s="1086"/>
      <c r="EW50" s="1086"/>
      <c r="EX50" s="1089"/>
      <c r="EY50" s="2"/>
      <c r="EZ50" s="2"/>
      <c r="FA50" s="2"/>
      <c r="FB50" s="2"/>
      <c r="FC50" s="2"/>
      <c r="FD50" s="2"/>
      <c r="FE50" s="2"/>
      <c r="FF50" s="2"/>
      <c r="FG50" s="2"/>
      <c r="FH50" s="2"/>
      <c r="FI50" s="2"/>
      <c r="FJ50" s="403"/>
      <c r="FK50" s="404"/>
      <c r="FL50" s="405"/>
      <c r="FM50" s="948"/>
    </row>
    <row r="51" spans="1:169" s="13" customFormat="1" ht="12.75" customHeight="1">
      <c r="A51" s="215"/>
      <c r="B51" s="385"/>
      <c r="C51" s="386"/>
      <c r="D51" s="629"/>
      <c r="E51" s="387"/>
      <c r="F51" s="388"/>
      <c r="G51" s="388"/>
      <c r="H51" s="388"/>
      <c r="I51" s="620" cm="1">
        <f t="array" ref="I51">IF($CI51=0,0,IFERROR(INDEX(MHR[],$CI51,MATCH($CA51,MHR!$B$4:$AY$4,0)),0))</f>
        <v>0</v>
      </c>
      <c r="J51" s="617">
        <f>IF(COUNTBLANK($E51:$H51),0,IFERROR($F51/$H51/IF($G51="s",3600,IF($G51="min",60,IF($G51="h",1,0)))*I51,0))</f>
        <v>0</v>
      </c>
      <c r="K51" s="389"/>
      <c r="L51" s="390"/>
      <c r="M51" s="849"/>
      <c r="N51" s="390"/>
      <c r="O51" s="388"/>
      <c r="P51" s="628" cm="1">
        <f t="array" ref="P51">IF($K51=0,0,IFERROR(ROUNDUP(IF(ISNUMBER($K51),$K51,INDEX($D$1:$D51,$CD51)*INDEX(Premises!$A$13:$F$13,1,$CH51)/IF(OR($K51="T",$K51="D"),250,IF($K51="W",50,IF($K51="M",12,IF(OR($K51="HJ",$K51="HY"),2,IF(OR($K51="J",$K51="Y"),1,0)))))),0),0))</f>
        <v>0</v>
      </c>
      <c r="Q51" s="620" cm="1">
        <f t="array" ref="Q51">IF($K51=0,0,IFERROR(INDEX(Premises!$A$22:$F$22,1,$CH51)*100/INDEX(Premises!$A$16:$F$16,1,$CH51),0))</f>
        <v>0</v>
      </c>
      <c r="R51" s="617">
        <f>IF($P51=0,0,IFERROR(($L51/60*($I51+$Q51*$M51)+($N51/60*($Q51*$O51)))/$P51,0))</f>
        <v>0</v>
      </c>
      <c r="S51" s="391"/>
      <c r="T51" s="392"/>
      <c r="U51" s="620" cm="1">
        <f t="array" ref="U51">IF(COUNTBLANK($S51:$T51),0,
IF(AND(INDEX(MHR[Schichtmodell],$CI51)&lt;&gt;0,INDEX(MHR[Schichtmodell],$CI51)&lt;&gt;INDEX(Premises!$A$20:$F$20,1,$CH51)),ExchangeRate*
IF(OR($T51="M",$T51="U"),IF(INDEX(MHR[Schichtmodell],$CI51)=1,INDEX(LOC[M1S],INDEX(Premises!$A$18:$F$18,1,$CH51+1)),IF(INDEX(MHR[Schichtmodell],$CI51)=2,INDEX(LOC[M2S],INDEX(Premises!$A$18:$F$18,1,$CH51+1),IF(INDEX(MHR[Schichtmodell],$CI51)=3,INDEX(LOC[M3S],INDEX(Premises!$A$18:$F$18,1,$CH51+1)),0)))),
IF(INDEX(MHR[Schichtmodell],$CI51)=1,INDEX(LOC[F1S],INDEX(Premises!$A$18:$F$18,1,$CH51+1)),IF(INDEX(MHR[Schichtmodell],$CI51)=2,INDEX(LOC[F2S],INDEX(Premises!$A$18:$F$18,1,$CH51+1)),IF(INDEX(MHR[Schichtmodell],$CI51)=3,INDEX(LOC[F3S],INDEX(Premises!$A$18:$F$18,1,$CH51+1)),0)))),
IF(OR($T51="M",$T51="U"),INDEX(Premises!$A$21:$F$21,1,$CH51),
IF(OR($T51="F",$T51="S"),INDEX(Premises!$A$22:$F$22,1,$CH51),0)))*100/INDEX(Premises!$A$16:$F$16,1,$CH51))</f>
        <v>0</v>
      </c>
      <c r="V51" s="614">
        <f>IF($U51=0,0,IFERROR($F51/$H51/IF($G51="s",3600,IF($G51="min",60,IF($G51="h",1,0)))*$S51*$U51,0))</f>
        <v>0</v>
      </c>
      <c r="W51" s="393"/>
      <c r="X51" s="386"/>
      <c r="Y51" s="394"/>
      <c r="Z51" s="395"/>
      <c r="AA51" s="611">
        <f>IFERROR($X51*$Z51/$Y51/MAX(1,$H51),0)</f>
        <v>0</v>
      </c>
      <c r="AB51" s="393"/>
      <c r="AC51" s="386"/>
      <c r="AD51" s="394"/>
      <c r="AE51" s="396"/>
      <c r="AF51" s="611">
        <f>IFERROR($AC51*$AE51/$AD51,0)</f>
        <v>0</v>
      </c>
      <c r="AG51" s="612" cm="1">
        <f t="array" ref="AG51">IF(($J51+$V51+$AF51)=0,0,INDEX(Premises!$A$30:$F$30,1,$CH51)/100)</f>
        <v>0</v>
      </c>
      <c r="AH51" s="397"/>
      <c r="AI51" s="398"/>
      <c r="AJ51" s="399"/>
      <c r="AK51" s="613">
        <f>IF(COUNTBLANK($AH51:$AI51),0,$AH51*$AI51*$AG51)</f>
        <v>0</v>
      </c>
      <c r="AL51" s="614">
        <f>($AK51+$AJ51*$AG51*(1-$AH51)+($J51+$V51+$AF51)*$AG51*(1-$AH51))</f>
        <v>0</v>
      </c>
      <c r="AM51" s="615" cm="1">
        <f t="array" ref="AM51">IF($CI51=0,0,IFERROR(INDEX(MHR[],$CI51,MATCH($CA51,MHR!$B$4:$AY$4,0)+11),0))</f>
        <v>0</v>
      </c>
      <c r="AN51" s="616" cm="1">
        <f t="array" ref="AN51">IF(($J51+$V51)=0,0,IFERROR(IF(INDEX(Premises!$A$41:$F$41,1,$CH51)&lt;&gt;0,INDEX(Premises!$A$41:$F$41,1,$CH51)/100,(IFERROR(($J51/$I51)*$AM51,0)/($V51+$J51+$R51+$AL51))),0))</f>
        <v>0</v>
      </c>
      <c r="AO51" s="617">
        <f>IF(($J51+$V51)=0,0,IF(IFERROR(($J51+$R51+$V51+$AL51)*$AN51,0)&lt;&gt;IFERROR(($J51/$I51)*$AM51,0),($J51+$R51+$V51+$AL51)*$AN51,IFERROR(($J51/$I51)*$AM51,0)))</f>
        <v>0</v>
      </c>
      <c r="AP51" s="618">
        <f>$V51+$J51+$R51+$AA51+$AF51+$AL51+$AO51</f>
        <v>0</v>
      </c>
      <c r="AQ51" s="393"/>
      <c r="AR51" s="392"/>
      <c r="AS51" s="619" cm="1">
        <f t="array" ref="AS51">IF($CJ51=0,0,IFERROR(INDEX(MAT[Einheit],$CJ51,1),0))</f>
        <v>0</v>
      </c>
      <c r="AT51" s="620" cm="1">
        <f t="array" ref="AT51">IF($CJ51=0,0,IFERROR(INDEX(MAT[Preis],$CJ51,1),0))</f>
        <v>0</v>
      </c>
      <c r="AU51" s="621">
        <f>$AR51*$AT51</f>
        <v>0</v>
      </c>
      <c r="AV51" s="622" cm="1">
        <f t="array" ref="AV51">IF($AU51&lt;=0,0,INDEX(Premises!$A$30:$F$30,1,$CH51)/100)</f>
        <v>0</v>
      </c>
      <c r="AW51" s="392"/>
      <c r="AX51" s="614">
        <f>IF($AV51=0,0,($AU51+$AW51)*$AV51)</f>
        <v>0</v>
      </c>
      <c r="AY51" s="623" cm="1">
        <f t="array" ref="AY51">IF($AT51&lt;=0,0,IFERROR(IF(INDEX(Premises!$A$42:$F$42,1,$CH51)&lt;&gt;0,INDEX(Premises!$A$42:$F$42,1,$CH51)/100,(INDEX(MAT[],$CJ51,MATCH($CA51,MAT!$B$4:$AE$4,0))/($AR51*$CK51*INDEX(Premises!$A$13:$F$13,1,$CH51))+INDEX(MAT[],$CJ51,MATCH($CA51,MAT!$B$4:$AE$4,0)+7))/$AT51),0))</f>
        <v>0</v>
      </c>
      <c r="AZ51" s="614">
        <f>IF($AY51=0,0,($AU51+$AX51)*$AY51)</f>
        <v>0</v>
      </c>
      <c r="BA51" s="618">
        <f>$AU51+$AX51+$AZ51</f>
        <v>0</v>
      </c>
      <c r="BB51" s="618">
        <f>$AP51+$BA51</f>
        <v>0</v>
      </c>
      <c r="BC51" s="622" cm="1">
        <f t="array" ref="BC51">IF($BB51&lt;=0,0,IF(BC$2=-1,0,INDEX(Premises!$A$32:$F$32,1,$CH51)/100))</f>
        <v>0</v>
      </c>
      <c r="BD51" s="614">
        <f>IF($AP51&lt;=0,0,($AP51-$AA51-$AL51)*$BC51)</f>
        <v>0</v>
      </c>
      <c r="BE51" s="622" cm="1">
        <f t="array" ref="BE51">IF($BB51&lt;=0,0,IF(BE$2=-1,0,INDEX(Premises!$A$33:$F$33,1,$CH51)/100))</f>
        <v>0</v>
      </c>
      <c r="BF51" s="614">
        <f>IF($BA51&lt;=0,0,$BA51*$BE51)</f>
        <v>0</v>
      </c>
      <c r="BG51" s="622" cm="1">
        <f t="array" ref="BG51">IF($BB51&lt;=0,0,IF(BG$2=-1,0,INDEX(Premises!$A$31:$F$31,1,$CH51)/100))</f>
        <v>0</v>
      </c>
      <c r="BH51" s="614">
        <f>(($AP51-$AA51-$AL51)+$BA51)*$BG51</f>
        <v>0</v>
      </c>
      <c r="BI51" s="618">
        <f>$BB51+$BD51+$BF51+$BH51</f>
        <v>0</v>
      </c>
      <c r="BJ51" s="622" cm="1">
        <f t="array" ref="BJ51">IF($BB51&lt;=0,0,IF(BJ$2=-1,0,INDEX(Premises!$A$35:$F$35,1,$CH51)/100))</f>
        <v>0</v>
      </c>
      <c r="BK51" s="614">
        <f>IF($AP51&lt;=0,0,($AP51-$AL51-$AA51)*$BJ51)</f>
        <v>0</v>
      </c>
      <c r="BL51" s="622" cm="1">
        <f t="array" ref="BL51">IF($BB51&lt;=0,0,IF(BL$2=-1,0,INDEX(Premises!$A$36:$F$36,1,$CH51)/100))</f>
        <v>0</v>
      </c>
      <c r="BM51" s="614">
        <f>IF($AU51&lt;=0,0,($AR51*$AT51)*$BL51)</f>
        <v>0</v>
      </c>
      <c r="BN51" s="622" cm="1">
        <f t="array" ref="BN51">IF($BB51&lt;=0,0,IF(BN$2=-1,0,INDEX(Premises!$A$34:$F$34,1,$CH51)/100))</f>
        <v>0</v>
      </c>
      <c r="BO51" s="614">
        <f>(($AP51-$AL51-$AA51)+($AR51*$AT51))*$BN51</f>
        <v>0</v>
      </c>
      <c r="BP51" s="622" cm="1">
        <f t="array" ref="BP51">IF($BI51=0,0,INDEX(Premises!$A$37:$F$37,1,$CH51)/100)</f>
        <v>0</v>
      </c>
      <c r="BQ51" s="392"/>
      <c r="BR51" s="614">
        <f>($BI51+$BK51+$BM51+$BO51)*$BP51+$BQ51</f>
        <v>0</v>
      </c>
      <c r="BS51" s="624">
        <f>BI51+BK51+BM51+BO51+BR51</f>
        <v>0</v>
      </c>
      <c r="BT51" s="624">
        <f>IF($BS51=0,0,$CK51*$BS51)</f>
        <v>0</v>
      </c>
      <c r="BU51" s="625">
        <f>IF($BT51=0,0,MAX(1,$EB51/$DP51))</f>
        <v>0</v>
      </c>
      <c r="BV51" s="400"/>
      <c r="BW51" s="401"/>
      <c r="BX51" s="401"/>
      <c r="BY51" s="402"/>
      <c r="BZ51" s="946"/>
      <c r="CA51" s="263" cm="1">
        <f t="array" ref="CA51">IF($BZ51&gt;0,VALUE(LEFT($BZ51,IF(ISERROR(FIND("-",$BZ51)),LEN($BZ51),FIND("-",$BZ51)-1))),INDEX($CA$1:$CA51,MAX(1,$CD51)))</f>
        <v>1</v>
      </c>
      <c r="CB51" s="263" cm="1">
        <f t="array" ref="CB51">IF($BT51=0,0,IF(LEN($BZ51)-LEN(SUBSTITUTE($BZ51,"-",""))&gt;1,
VALUE(MID($BZ51,FIND("-",$BZ51)+1,FIND("-",$BZ51,FIND("-",$BZ51)+1)-FIND("-",$BZ51)-1)),IF($BZ51&gt;0,0,INDEX($CB$1:$CB51,MAX(1,$CD51)))))</f>
        <v>0</v>
      </c>
      <c r="CC51" s="263" cm="1">
        <f t="array" ref="CC51">IF($BT51=0,0,IF(NOT(ISERROR(FIND("-",BZ51))),
VALUE(RIGHT($BZ51,LEN($BZ51)-IF(LEN($BZ51)-LEN(SUBSTITUTE($BZ51,"-",""))=1,FIND("-",$BZ51),FIND("-",$BZ51,FIND("-",$BZ51)+1)))),
IF($BZ51&gt;0,0,INDEX($CC$1:$CC51,MAX(1,$CD51)))))</f>
        <v>0</v>
      </c>
      <c r="CD51" s="376">
        <f>MATCH(0,$CE$1:$CE51,-1)</f>
        <v>47</v>
      </c>
      <c r="CE51" s="263"/>
      <c r="CF51" s="377"/>
      <c r="CG51" s="376" cm="1">
        <f t="array" ref="CG51">INDEX($CG$1:$CG51,$CD51)</f>
        <v>7</v>
      </c>
      <c r="CH51" s="263">
        <f>MATCH($CA51,Premises!$A$10:$F$10,0)</f>
        <v>4</v>
      </c>
      <c r="CI51" s="263">
        <f>IF(ISBLANK($E51),0,IFERROR(MATCH($E51,MHR[Bezeichnung],0),0))</f>
        <v>0</v>
      </c>
      <c r="CJ51" s="377">
        <f>IF(ISBLANK($AQ51),0,IFERROR(MATCH($AQ51,MAT[Bezeichnung],0),0))</f>
        <v>0</v>
      </c>
      <c r="CK51" s="263" cm="1">
        <f t="array" ref="CK51">INDEX($D$1:$D51,$CD51)</f>
        <v>1</v>
      </c>
      <c r="CL51" s="263"/>
      <c r="CM51" s="378"/>
      <c r="CN51" s="379" cm="1">
        <f t="array" ref="CN51">IF($CB51=0,0,IF($CB51=INDEX($CB$1:$CB51,$CD51),INDEX($CN$1:$CN51,$CD51),$CP51))</f>
        <v>0</v>
      </c>
      <c r="CO51" s="378"/>
      <c r="CP51" s="379" cm="1">
        <f t="array" ref="CP51">IF($CC51=0,0,INDEX($CP$1:$CP51,$CD51))</f>
        <v>0</v>
      </c>
      <c r="CQ51" s="380"/>
      <c r="CR51" s="381"/>
      <c r="CS51" s="381"/>
      <c r="CT51" s="948"/>
      <c r="CU51" s="2"/>
      <c r="CV51" s="630">
        <f>$J51*$CK51</f>
        <v>0</v>
      </c>
      <c r="CW51" s="631">
        <f>$R51*$CK51</f>
        <v>0</v>
      </c>
      <c r="CX51" s="631">
        <f>$V51*$CK51</f>
        <v>0</v>
      </c>
      <c r="CY51" s="631">
        <f>$AA51*$CK51</f>
        <v>0</v>
      </c>
      <c r="CZ51" s="631">
        <f>$AF51*$CK51</f>
        <v>0</v>
      </c>
      <c r="DA51" s="631">
        <f>$AL51*$CK51</f>
        <v>0</v>
      </c>
      <c r="DB51" s="631">
        <f>$AO51*$CK51</f>
        <v>0</v>
      </c>
      <c r="DC51" s="632">
        <f>$AP51*$CK51</f>
        <v>0</v>
      </c>
      <c r="DD51" s="631">
        <f>$AU51*$CK51</f>
        <v>0</v>
      </c>
      <c r="DE51" s="631">
        <f>$AX51*$CK51</f>
        <v>0</v>
      </c>
      <c r="DF51" s="631">
        <f>$AZ51*$CK51</f>
        <v>0</v>
      </c>
      <c r="DG51" s="632">
        <f>$BA51*$CK51</f>
        <v>0</v>
      </c>
      <c r="DH51" s="632">
        <f>$BB51*$CK51</f>
        <v>0</v>
      </c>
      <c r="DI51" s="631">
        <f>$BD51*$CK51</f>
        <v>0</v>
      </c>
      <c r="DJ51" s="631">
        <f>$BF51*$CK51</f>
        <v>0</v>
      </c>
      <c r="DK51" s="631">
        <f>$BH51*$CK51</f>
        <v>0</v>
      </c>
      <c r="DL51" s="631">
        <f>$BK51*$CK51</f>
        <v>0</v>
      </c>
      <c r="DM51" s="631">
        <f>$BM51*$CK51</f>
        <v>0</v>
      </c>
      <c r="DN51" s="631">
        <f>$BO51*$CK51</f>
        <v>0</v>
      </c>
      <c r="DO51" s="631">
        <f>$BR51*$CK51</f>
        <v>0</v>
      </c>
      <c r="DP51" s="634">
        <f>$CK51*($BB51+$BD51+$BF51+$BH51+$BK51+$BM51+$BO51+$BR51)</f>
        <v>0</v>
      </c>
      <c r="DQ51" s="929">
        <f>IF($CB51=0,0,$DP51*_xlfn.XLOOKUP($CB51,Premises!$A$10:$F$10,Premises!$A$30:$F$30)/100)</f>
        <v>0</v>
      </c>
      <c r="DR51" s="633">
        <f>IFERROR(SUM($DP51:$DQ51)*IF(INDEX(Premises!$A$42:$F$42,1,MATCH($CB51,Premises!$A$10:$F$10,0))&gt;0,INDEX(Premises!$A$42:$F$42,1,MATCH($CB51,Premises!$A$10:$F$10,0))%,$CN51),0)</f>
        <v>0</v>
      </c>
      <c r="DS51" s="633" cm="1">
        <f t="array" ref="DS51">IF($CB51=0,0,SUM($DP51:$DR51)*_xlfn.XLOOKUP($CB51,Premises!$A$10:$F$10,IF(INDEX(Settings[],MATCH(3001,Settings[ID],0),2)="B",Premises!$A$33:$F$33,Premises!$A$31:$F$31))/100)</f>
        <v>0</v>
      </c>
      <c r="DT51" s="633" cm="1">
        <f t="array" ref="DT51">IF($CB51=0,0,$DP51*_xlfn.XLOOKUP($CB51,Premises!$A$10:$F$10,IF(INDEX(Settings[],MATCH(3002,Settings[ID],0),2)="B",Premises!$A$36:$F$36,Premises!$A$34:$F$34))/100)</f>
        <v>0</v>
      </c>
      <c r="DU51" s="633">
        <f>IF($CB51=0,0,SUM($DP51:$DT51)*_xlfn.XLOOKUP($CB51,Premises!$A$10:$F$10,Premises!$A$37:$F$37)/100)</f>
        <v>0</v>
      </c>
      <c r="DV51" s="932">
        <f>SUM($DP51:$DU51)</f>
        <v>0</v>
      </c>
      <c r="DW51" s="929">
        <f>IF($CC51=0,0,$DV51*_xlfn.XLOOKUP($CC51,Premises!$A$10:$F$10,Premises!$A$30:$F$30)/100)</f>
        <v>0</v>
      </c>
      <c r="DX51" s="633">
        <f>IFERROR(SUM($DV51:$DW51)*IF(INDEX(Premises!$A$42:$F$42,1,MATCH($CC51,Premises!$A$10:$F$10,0))&gt;0,INDEX(Premises!$A$42:$F$42,1,MATCH($CC51,Premises!$A$10:$F$10,0))%,$CP51),0)</f>
        <v>0</v>
      </c>
      <c r="DY51" s="633" cm="1">
        <f t="array" ref="DY51">IF($CC51=0,0,SUM($DV51:$DX51)*_xlfn.XLOOKUP($CC51,Premises!$A$10:$F$10,IF(INDEX(Settings[],MATCH(3001,Settings[ID],0),2)="B",Premises!$A$33:$F$33,Premises!$A$31:$F$31))/100)</f>
        <v>0</v>
      </c>
      <c r="DZ51" s="633" cm="1">
        <f t="array" ref="DZ51">IF($CC51=0,0,$DV51*_xlfn.XLOOKUP($CC51,Premises!$A$10:$F$10,IF(INDEX(Settings[],MATCH(3002,Settings[ID],0),2)="B",Premises!$A$36:$F$36,Premises!$A$34:$F$34))/100)</f>
        <v>0</v>
      </c>
      <c r="EA51" s="633">
        <f>IF($CC51=0,0,SUM($DV51:$DZ51)*_xlfn.XLOOKUP($CC51,Premises!$A$10:$F$10,Premises!$A$37:$F$37)/100)</f>
        <v>0</v>
      </c>
      <c r="EB51" s="634">
        <f>SUM($DV51:$EA51)</f>
        <v>0</v>
      </c>
      <c r="EC51" s="783"/>
      <c r="ED51" s="1082"/>
      <c r="EE51" s="633"/>
      <c r="EF51" s="1088"/>
      <c r="EG51" s="1086"/>
      <c r="EH51" s="1086"/>
      <c r="EI51" s="1086"/>
      <c r="EJ51" s="1086"/>
      <c r="EK51" s="1086"/>
      <c r="EL51" s="1086"/>
      <c r="EM51" s="1088"/>
      <c r="EN51" s="1086"/>
      <c r="EO51" s="1086"/>
      <c r="EP51" s="1086"/>
      <c r="EQ51" s="1086"/>
      <c r="ER51" s="1088"/>
      <c r="ES51" s="1086"/>
      <c r="ET51" s="1086"/>
      <c r="EU51" s="1086"/>
      <c r="EV51" s="1086"/>
      <c r="EW51" s="1086"/>
      <c r="EX51" s="1089"/>
      <c r="EY51" s="2"/>
      <c r="EZ51" s="2"/>
      <c r="FA51" s="2"/>
      <c r="FB51" s="2"/>
      <c r="FC51" s="2"/>
      <c r="FD51" s="2"/>
      <c r="FE51" s="2"/>
      <c r="FF51" s="2"/>
      <c r="FG51" s="2"/>
      <c r="FH51" s="2"/>
      <c r="FI51" s="2"/>
      <c r="FJ51" s="403"/>
      <c r="FK51" s="404"/>
      <c r="FL51" s="405"/>
      <c r="FM51" s="948"/>
    </row>
    <row r="52" spans="1:169" s="13" customFormat="1" ht="12.75" customHeight="1">
      <c r="A52" s="215"/>
      <c r="B52" s="370" t="str">
        <f>BOM!$A$8</f>
        <v>01-01-04 PCB UI Upper</v>
      </c>
      <c r="C52" s="371"/>
      <c r="D52" s="372" cm="1">
        <f t="array" ref="D52">IF($CG52=0,0,INDEX(BOM!$N:$N,$CG52))</f>
        <v>1</v>
      </c>
      <c r="E52" s="627" t="s">
        <v>664</v>
      </c>
      <c r="F52" s="627" t="s">
        <v>664</v>
      </c>
      <c r="G52" s="627" t="s">
        <v>664</v>
      </c>
      <c r="H52" s="627" t="s">
        <v>664</v>
      </c>
      <c r="I52" s="627" t="s">
        <v>664</v>
      </c>
      <c r="J52" s="627" t="s">
        <v>664</v>
      </c>
      <c r="K52" s="627" t="s">
        <v>664</v>
      </c>
      <c r="L52" s="627" t="s">
        <v>664</v>
      </c>
      <c r="M52" s="627" t="s">
        <v>664</v>
      </c>
      <c r="N52" s="627" t="s">
        <v>664</v>
      </c>
      <c r="O52" s="627" t="s">
        <v>664</v>
      </c>
      <c r="P52" s="627" t="s">
        <v>664</v>
      </c>
      <c r="Q52" s="627" t="s">
        <v>664</v>
      </c>
      <c r="R52" s="627" t="s">
        <v>664</v>
      </c>
      <c r="S52" s="627" t="s">
        <v>664</v>
      </c>
      <c r="T52" s="627" t="s">
        <v>664</v>
      </c>
      <c r="U52" s="627" t="s">
        <v>664</v>
      </c>
      <c r="V52" s="627" t="s">
        <v>664</v>
      </c>
      <c r="W52" s="627" t="s">
        <v>664</v>
      </c>
      <c r="X52" s="627" t="s">
        <v>664</v>
      </c>
      <c r="Y52" s="627" t="s">
        <v>664</v>
      </c>
      <c r="Z52" s="627" t="s">
        <v>664</v>
      </c>
      <c r="AA52" s="627" t="s">
        <v>664</v>
      </c>
      <c r="AB52" s="627" t="s">
        <v>664</v>
      </c>
      <c r="AC52" s="627" t="s">
        <v>664</v>
      </c>
      <c r="AD52" s="627" t="s">
        <v>664</v>
      </c>
      <c r="AE52" s="627" t="s">
        <v>664</v>
      </c>
      <c r="AF52" s="627" t="s">
        <v>664</v>
      </c>
      <c r="AG52" s="627" t="s">
        <v>664</v>
      </c>
      <c r="AH52" s="627" t="s">
        <v>664</v>
      </c>
      <c r="AI52" s="627" t="s">
        <v>664</v>
      </c>
      <c r="AJ52" s="627" t="s">
        <v>664</v>
      </c>
      <c r="AK52" s="627" t="s">
        <v>664</v>
      </c>
      <c r="AL52" s="627" t="s">
        <v>664</v>
      </c>
      <c r="AM52" s="627" t="s">
        <v>664</v>
      </c>
      <c r="AN52" s="627" t="s">
        <v>664</v>
      </c>
      <c r="AO52" s="627" t="s">
        <v>664</v>
      </c>
      <c r="AP52" s="627" t="s">
        <v>664</v>
      </c>
      <c r="AQ52" s="627" t="s">
        <v>664</v>
      </c>
      <c r="AR52" s="627" t="s">
        <v>664</v>
      </c>
      <c r="AS52" s="627" t="s">
        <v>664</v>
      </c>
      <c r="AT52" s="627" t="s">
        <v>664</v>
      </c>
      <c r="AU52" s="627" t="s">
        <v>664</v>
      </c>
      <c r="AV52" s="627" t="s">
        <v>664</v>
      </c>
      <c r="AW52" s="627" t="s">
        <v>664</v>
      </c>
      <c r="AX52" s="627" t="s">
        <v>664</v>
      </c>
      <c r="AY52" s="627" t="s">
        <v>664</v>
      </c>
      <c r="AZ52" s="627" t="s">
        <v>664</v>
      </c>
      <c r="BA52" s="627" t="s">
        <v>664</v>
      </c>
      <c r="BB52" s="627" t="s">
        <v>664</v>
      </c>
      <c r="BC52" s="627" t="s">
        <v>664</v>
      </c>
      <c r="BD52" s="627" t="s">
        <v>664</v>
      </c>
      <c r="BE52" s="627" t="s">
        <v>664</v>
      </c>
      <c r="BF52" s="627" t="s">
        <v>664</v>
      </c>
      <c r="BG52" s="627" t="s">
        <v>664</v>
      </c>
      <c r="BH52" s="627" t="s">
        <v>664</v>
      </c>
      <c r="BI52" s="627" t="s">
        <v>664</v>
      </c>
      <c r="BJ52" s="627" t="s">
        <v>664</v>
      </c>
      <c r="BK52" s="627" t="s">
        <v>664</v>
      </c>
      <c r="BL52" s="627" t="s">
        <v>664</v>
      </c>
      <c r="BM52" s="627" t="s">
        <v>664</v>
      </c>
      <c r="BN52" s="627" t="s">
        <v>664</v>
      </c>
      <c r="BO52" s="627" t="s">
        <v>664</v>
      </c>
      <c r="BP52" s="627" t="s">
        <v>664</v>
      </c>
      <c r="BQ52" s="627" t="s">
        <v>664</v>
      </c>
      <c r="BR52" s="627" t="s">
        <v>664</v>
      </c>
      <c r="BS52" s="898">
        <f>SUM(INDEX($BS:$BS,ROW()+1):INDEX($BS:$BS,$CE52))</f>
        <v>2.9594769329447406</v>
      </c>
      <c r="BT52" s="898">
        <f>SUM(INDEX($BT:$BT,ROW()+1):INDEX($BT:$BT,$CE52))</f>
        <v>2.9594769329447406</v>
      </c>
      <c r="BU52" s="627" t="s">
        <v>664</v>
      </c>
      <c r="BV52" s="626">
        <f>SUMPRODUCT($BS52:INDEX($BS:$BS,$CE52),$BU52:INDEX($BU:$BU,$CE52))</f>
        <v>2.9594769329447406</v>
      </c>
      <c r="BW52" s="373">
        <f>$D52*$BV52</f>
        <v>2.9594769329447406</v>
      </c>
      <c r="BX52" s="794" cm="1">
        <f t="array" ref="BX52">IF($CG52=0,0,IF(INDEX(BOM!$P:$P,$CG52)=0,0,
SUMPRODUCT($BW52:INDEX($BW:$BW,IFERROR(ROW()+MATCH($CL52,INDEX($CL:$CL,ROW()+1):INDEX($CL:$CL,MAX($CE:$CE)),0)-1,MAX($CE:$CE))),
($CL52:INDEX($CL:$CL,IFERROR(ROW()+MATCH($CL52,INDEX($CL:$CL,ROW()+1):INDEX($CL:$CL,MAX($CE:$CE)),0)-1,MAX($CE:$CE)))&gt;=$CL52)*1)
))</f>
        <v>0</v>
      </c>
      <c r="BY52" s="374"/>
      <c r="BZ52" s="375" cm="1">
        <f t="array" ref="BZ52">IF($CG52=0,0,INDEX(BOM!$M:$M,$CG52))</f>
        <v>1</v>
      </c>
      <c r="CA52" s="263">
        <f>IF($BZ52&gt;0,VALUE(LEFT($BZ52,IF(ISERROR(FIND("-",$BZ52)),LEN($BZ52),FIND("-",$BZ52)-1))),INDEX($BZ$1:BZ52,MATCH("",$A$1:A52,-1)))</f>
        <v>1</v>
      </c>
      <c r="CB52" s="263">
        <f>IF(LEN($BZ52)-LEN(SUBSTITUTE($BZ52,"-",))&gt;1,
VALUE(MID($BZ52,FIND("-",$BZ52)+1,FIND("-",$BZ52,FIND("-",$BZ52)+1)-FIND("-",$BZ52)-1)),0)</f>
        <v>0</v>
      </c>
      <c r="CC52" s="263">
        <f>IF(NOT(ISERROR(FIND("-",BZ52))),
VALUE(RIGHT($BZ52,LEN($BZ52)-IF(LEN($BZ52)-LEN(SUBSTITUTE($BZ52,"-",""))=1,FIND("-",$BZ52),FIND("-",$BZ52,FIND("-",$BZ52)+1)))),0)</f>
        <v>0</v>
      </c>
      <c r="CD52" s="376"/>
      <c r="CE52" s="263" cm="1">
        <f t="array" ref="CE52">ROW()+MATCH(TRUE,_xlfn.ISFORMULA(INDEX(BW:BW,ROW()+1):INDEX(BW:BW,ROW()+MaxNumberOfRowsPerBlock)),0)-1</f>
        <v>60</v>
      </c>
      <c r="CF52" s="377" cm="1">
        <f t="array" ref="CF52">IF(CL52=0,-1,IF(CL52=1,7,MAX(IF($CL$1:$CL52=CL52-1,ROW($CL$1:$CL52),0))))</f>
        <v>17</v>
      </c>
      <c r="CG52" s="376">
        <f>IFERROR(MATCH($B52,BOM!$A:$A,0),0)</f>
        <v>8</v>
      </c>
      <c r="CH52" s="263">
        <f>MATCH($CA52,Premises!$A$10:$F$10,0)</f>
        <v>4</v>
      </c>
      <c r="CI52" s="263"/>
      <c r="CJ52" s="377"/>
      <c r="CK52" s="263"/>
      <c r="CL52" s="263" cm="1">
        <f t="array" ref="CL52">IF($CG52=0,0,INDEX(BOM!$C:$C,$CG52))</f>
        <v>3</v>
      </c>
      <c r="CM52" s="378" cm="1">
        <f t="array" ref="CM52">IF($CG52=0,0,IF(OR($CF52&lt;0,AND(INDEX($CB:$CB,$CF52)=$CB52,INDEX($CC:$CC,$CF52)=$CC52)),0,IF(INDEX(BOM!$P:$P,$CG52)=0,$BT52,(SUMIF($CA52:INDEX($CA:$CA,IFERROR(ROW()+MATCH($CL52,INDEX($CL:$CL,ROW()+1):INDEX($CL:$CL,MAX($CE:$CE)),0)-1,MAX($CE:$CE))),$CA52,$BT52:INDEX($BT:$BT,IFERROR(ROW()+MATCH($CL52,INDEX($CL:$CL,ROW()+1):INDEX($CL:$CL,MAX($CE:$CE)),0)-1,MAX($CE:$CE))))+SUMIF($CB52:INDEX($CB:$CB,IFERROR(ROW()+MATCH($CL52,INDEX($CL:$CL,ROW()+1):INDEX($CL:$CL,MAX($CE:$CE)),0)-1,MAX($CE:$CE))),$CA52,$BT52:INDEX($BT:$BT,IFERROR(ROW()+MATCH($CL52,INDEX($CL:$CL,ROW()+1):INDEX($CL:$CL,MAX($CE:$CE)),0)-1,MAX($CE:$CE)))))/2)))</f>
        <v>0</v>
      </c>
      <c r="CN52" s="379" cm="1">
        <f t="array" ref="CN52">IFERROR(IF($CB52=0,0,IF($CM52=0,INDEX($CN$1:$CN52,$CF52),INDEX(IF($CM52&lt;0.2,Premises!$A$43:$F$43,IF($CM52&lt;5,Premises!$A$46:$F$46,Premises!$A$49:$F$49)),MATCH($CB52,Premises!$A$10:$F$10,0))/($CM52*INDEX(Premises!$A$13:$F$13,MATCH($CB52,Premises!$A$10:$F$10,0)))+INDEX(IF($CM52&lt;0.2,Premises!$A$44:$F$44,IF($CM52&lt;5,Premises!$A$47:$F$47,Premises!$A$50:$F$50)),MATCH($CB52,Premises!$A$10:$F$10,0))+INDEX(IF($CM52&lt;0.2,Premises!$A$45:$F$45,IF($CM52&lt;5,Premises!$A$48:$F$48,Premises!$A$51:$F$51)),MATCH($CB52,Premises!$A$10:$F$10,0))/$CM52)),0.01)</f>
        <v>0</v>
      </c>
      <c r="CO52" s="378" cm="1">
        <f t="array" ref="CO52">IF($CG52=0,0,IF(INDEX($CC:$CC,$CF52)=$CC52,0,$CM52*(1+IFERROR(INDEX(Premises!$A$52:$F$52,1,MATCH($CB52,Premises!$A$10:$F$10,0)),0)+$CN52)))</f>
        <v>0</v>
      </c>
      <c r="CP52" s="379" cm="1">
        <f t="array" ref="CP52">IFERROR(IF($CC52=0,0,IF($CO52=0,INDEX($CP$1:$CP52,$CF52),INDEX(IF($CO52&lt;0.2,Premises!$A$43:$F$43,IF($CO52&lt;5,Premises!$A$46:$F$46,Premises!$A$49:$F$49)),MATCH($CC52,Premises!$A$10:$F$10,0))/($CO52*INDEX(Premises!$A$13:$F$13,MATCH($CC52,Premises!$A$10:$F$10,0)))+INDEX(IF($CO52&lt;0.2,Premises!$A$44:$F$44,IF($CO52&lt;5,Premises!$A$47:$F$47,Premises!$A$50:$F$50)),MATCH($CC52,Premises!$A$10:$F$10,0))+INDEX(IF($CO52&lt;0.2,Premises!$A$45:$F$45,IF($CO52&lt;5,Premises!$A$48:$F$48,Premises!$A$51:$F$51)),MATCH($CC52,Premises!$A$10:$F$10,0))/$CO52)),0.01)</f>
        <v>0</v>
      </c>
      <c r="CQ52" s="380" cm="1">
        <f t="array" ref="CQ52">IF(AND($CM52=0,$CO52=0),0,INDEX(BOM!$O:$O,$CG52))</f>
        <v>0</v>
      </c>
      <c r="CR52" s="381" cm="1">
        <f t="array" ref="CR52">IF(OR($CM52=0,$CN52=0),0,ACOS(COS(RADIANS(90-INDEX(Premises!$A$66:$F$66,1,$CH52)))*COS(RADIANS(90-INDEX(Premises!$A$66:$F$66,1,MATCH($CB52,Premises!$A$10:$F$10,0))))
+SIN(RADIANS(90-INDEX(Premises!$A$66:$F$66,1,$CH52)))*SIN(RADIANS(90-INDEX(Premises!$A$66:$F$66,1,MATCH($CB52,Premises!$A$10:$F$10,0)))) * COS(RADIANS(INDEX(Premises!$A$67:$F$67,1,$CH52)-INDEX(Premises!$A$67:$F$67,1,MATCH($CB52,Premises!$A$10:$F$10,0)))))*6371)</f>
        <v>0</v>
      </c>
      <c r="CS52" s="381" cm="1">
        <f t="array" ref="CS52">IF(OR($CO52=0,$CP52=0),0,
IF($CR52=0,ACOS(COS(RADIANS(90-INDEX(Premises!$A$66:$F$66,1,$CH52)))*COS(RADIANS(90-INDEX(Premises!$A$66:$F$66,1,MATCH($CC52,Premises!$A$10:$F$10,0))))
+SIN(RADIANS(90-INDEX(Premises!$A$66:$F$66,1,$CH52)))*SIN(RADIANS(90-INDEX(Premises!$A$66:$F$66,1,MATCH($CC52,Premises!$A$10:$F$10,0))))*COS(RADIANS(INDEX(Premises!$A$67:$F$67,1,$CH52)-INDEX(Premises!$A$67:$F$67,1,MATCH($CC52,Premises!$A$10:$F$10,0)))))*6371,
ACOS(COS(RADIANS(90-INDEX(Premises!$A$66:$F$66,1,MATCH($CB52,Premises!$A$10:$F$10,0))))*COS(RADIANS(90-INDEX(Premises!$A$66:$F$66,1,MATCH($CC52,Premises!$A$10:$F$10,0))))
+SIN(RADIANS(90-INDEX(Premises!$A$66:$F$66,1,MATCH($CB52,Premises!$A$10:$F$10,0))))*SIN(RADIANS(90-INDEX(Premises!$A$66:$F$66,1,MATCH($CC52,Premises!$A$10:$F$10,0))))*COS(RADIANS(INDEX(Premises!$A$67:$F$67,1,MATCH($CB52,Premises!$A$10:$F$10,0))-INDEX(Premises!$A$67:$F$67,1,MATCH($CC52,Premises!$A$10:$F$10,0)))))*6371))</f>
        <v>0</v>
      </c>
      <c r="CT52" s="947"/>
      <c r="CU52" s="2"/>
      <c r="CV52" s="382">
        <f>SUM(INDEX(CV:CV,ROW()+1):INDEX(CV:CV,$CE52))</f>
        <v>6.207052391596396E-2</v>
      </c>
      <c r="CW52" s="383">
        <f>SUM(INDEX(CW:CW,ROW()+1):INDEX(CW:CW,$CE52))</f>
        <v>1.8933540717302969E-2</v>
      </c>
      <c r="CX52" s="383">
        <f>SUM(INDEX(CX:CX,ROW()+1):INDEX(CX:CX,$CE52))</f>
        <v>6.0936284722222227E-2</v>
      </c>
      <c r="CY52" s="383">
        <f>SUM(INDEX(CY:CY,ROW()+1):INDEX(CY:CY,$CE52))</f>
        <v>0</v>
      </c>
      <c r="CZ52" s="383">
        <f>SUM(INDEX(CZ:CZ,ROW()+1):INDEX(CZ:CZ,$CE52))</f>
        <v>0</v>
      </c>
      <c r="DA52" s="383">
        <f>SUM(INDEX(DA:DA,ROW()+1):INDEX(DA:DA,$CE52))</f>
        <v>1.2300680863818619E-3</v>
      </c>
      <c r="DB52" s="383">
        <f>SUM(INDEX(DB:DB,ROW()+1):INDEX(DB:DB,$CE52))</f>
        <v>1.6934432821118214E-2</v>
      </c>
      <c r="DC52" s="383">
        <f>SUM(INDEX(DC:DC,ROW()+1):INDEX(DC:DC,$CE52))</f>
        <v>0.16010485026298921</v>
      </c>
      <c r="DD52" s="383">
        <f>SUM(INDEX(DD:DD,ROW()+1):INDEX(DD:DD,$CE52))</f>
        <v>2.3572328069219211</v>
      </c>
      <c r="DE52" s="383">
        <f>SUM(INDEX(DE:DE,ROW()+1):INDEX(DE:DE,$CE52))</f>
        <v>2.357232806921921E-2</v>
      </c>
      <c r="DF52" s="383">
        <f>SUM(INDEX(DF:DF,ROW()+1):INDEX(DF:DF,$CE52))</f>
        <v>1.2393182389022296E-2</v>
      </c>
      <c r="DG52" s="383">
        <f>SUM(INDEX(DG:DG,ROW()+1):INDEX(DG:DG,$CE52))</f>
        <v>2.3931983173801625</v>
      </c>
      <c r="DH52" s="383">
        <f>SUM(INDEX(DH:DH,ROW()+1):INDEX(DH:DH,$CE52))</f>
        <v>2.5533031676431515</v>
      </c>
      <c r="DI52" s="383">
        <f>SUM(INDEX(DI:DI,ROW()+1):INDEX(DI:DI,$CE52))</f>
        <v>0</v>
      </c>
      <c r="DJ52" s="383">
        <f>SUM(INDEX(DJ:DJ,ROW()+1):INDEX(DJ:DJ,$CE52))</f>
        <v>0</v>
      </c>
      <c r="DK52" s="383">
        <f>SUM(INDEX(DK:DK,ROW()+1):INDEX(DK:DK,$CE52))</f>
        <v>0.25520730995567698</v>
      </c>
      <c r="DL52" s="383">
        <f>SUM(INDEX(DL:DL,ROW()+1):INDEX(DL:DL,$CE52))</f>
        <v>0</v>
      </c>
      <c r="DM52" s="383">
        <f>SUM(INDEX(DM:DM,ROW()+1):INDEX(DM:DM,$CE52))</f>
        <v>0</v>
      </c>
      <c r="DN52" s="383">
        <f>SUM(INDEX(DN:DN,ROW()+1):INDEX(DN:DN,$CE52))</f>
        <v>0.15096645534591169</v>
      </c>
      <c r="DO52" s="383">
        <f>SUM(INDEX(DO:DO,ROW()+1):INDEX(DO:DO,$CE52))</f>
        <v>0</v>
      </c>
      <c r="DP52" s="383">
        <f>SUM(INDEX(DP:DP,ROW()+1):INDEX(DP:DP,$CE52))</f>
        <v>2.9594769329447406</v>
      </c>
      <c r="DQ52" s="383">
        <f>SUM(INDEX(DQ:DQ,ROW()+1):INDEX(DQ:DQ,$CE52))</f>
        <v>0</v>
      </c>
      <c r="DR52" s="383">
        <f>SUM(INDEX(DR:DR,ROW()+1):INDEX(DR:DR,$CE52))</f>
        <v>0</v>
      </c>
      <c r="DS52" s="383">
        <f>SUM(INDEX(DS:DS,ROW()+1):INDEX(DS:DS,$CE52))</f>
        <v>0</v>
      </c>
      <c r="DT52" s="383">
        <f>SUM(INDEX(DT:DT,ROW()+1):INDEX(DT:DT,$CE52))</f>
        <v>0</v>
      </c>
      <c r="DU52" s="383">
        <f>SUM(INDEX(DU:DU,ROW()+1):INDEX(DU:DU,$CE52))</f>
        <v>0</v>
      </c>
      <c r="DV52" s="383">
        <f>SUM(INDEX(DV:DV,ROW()+1):INDEX(DV:DV,$CE52))</f>
        <v>2.9594769329447406</v>
      </c>
      <c r="DW52" s="383">
        <f>SUM(INDEX(DW:DW,ROW()+1):INDEX(DW:DW,$CE52))</f>
        <v>0</v>
      </c>
      <c r="DX52" s="383">
        <f>SUM(INDEX(DX:DX,ROW()+1):INDEX(DX:DX,$CE52))</f>
        <v>0</v>
      </c>
      <c r="DY52" s="383">
        <f>SUM(INDEX(DY:DY,ROW()+1):INDEX(DY:DY,$CE52))</f>
        <v>0</v>
      </c>
      <c r="DZ52" s="383">
        <f>SUM(INDEX(DZ:DZ,ROW()+1):INDEX(DZ:DZ,$CE52))</f>
        <v>0</v>
      </c>
      <c r="EA52" s="383">
        <f>SUM(INDEX(EA:EA,ROW()+1):INDEX(EA:EA,$CE52))</f>
        <v>0</v>
      </c>
      <c r="EB52" s="384">
        <f>SUM(INDEX(EB:EB,ROW()+1):INDEX(EB:EB,$CE52))</f>
        <v>2.9594769329447406</v>
      </c>
      <c r="EC52" s="783"/>
      <c r="ED52" s="382"/>
      <c r="EE52" s="383"/>
      <c r="EF52" s="1090"/>
      <c r="EG52" s="1090"/>
      <c r="EH52" s="1090"/>
      <c r="EI52" s="1090"/>
      <c r="EJ52" s="1090"/>
      <c r="EK52" s="1090"/>
      <c r="EL52" s="1090"/>
      <c r="EM52" s="1090"/>
      <c r="EN52" s="1090"/>
      <c r="EO52" s="1090"/>
      <c r="EP52" s="1090"/>
      <c r="EQ52" s="1090"/>
      <c r="ER52" s="1090"/>
      <c r="ES52" s="1090"/>
      <c r="ET52" s="1090"/>
      <c r="EU52" s="1090"/>
      <c r="EV52" s="1090"/>
      <c r="EW52" s="1090"/>
      <c r="EX52" s="1091"/>
      <c r="EY52" s="2"/>
      <c r="EZ52" s="2"/>
      <c r="FA52" s="2"/>
      <c r="FB52" s="2"/>
      <c r="FC52" s="2"/>
      <c r="FD52" s="2"/>
      <c r="FE52" s="2"/>
      <c r="FF52" s="2"/>
      <c r="FG52" s="2"/>
      <c r="FH52" s="2"/>
      <c r="FI52" s="2"/>
      <c r="FJ52" s="382"/>
      <c r="FK52" s="383"/>
      <c r="FL52" s="384"/>
      <c r="FM52" s="947"/>
    </row>
    <row r="53" spans="1:169" s="13" customFormat="1" ht="12.75" customHeight="1">
      <c r="A53" s="215"/>
      <c r="B53" s="385" t="s">
        <v>34</v>
      </c>
      <c r="C53" s="386"/>
      <c r="D53" s="629"/>
      <c r="E53" s="387"/>
      <c r="F53" s="388"/>
      <c r="G53" s="388"/>
      <c r="H53" s="388"/>
      <c r="I53" s="620" cm="1">
        <f t="array" ref="I53">IF($CI53=0,0,IFERROR(INDEX(MHR[],$CI53,MATCH($CA53,MHR!$B$4:$AY$4,0)),0))</f>
        <v>0</v>
      </c>
      <c r="J53" s="617">
        <f t="shared" ref="J53:J60" si="142">IF(COUNTBLANK($E53:$H53),0,IFERROR($F53/$H53/IF($G53="s",3600,IF($G53="min",60,IF($G53="h",1,0)))*I53,0))</f>
        <v>0</v>
      </c>
      <c r="K53" s="389"/>
      <c r="L53" s="390"/>
      <c r="M53" s="849"/>
      <c r="N53" s="390"/>
      <c r="O53" s="388"/>
      <c r="P53" s="628" cm="1">
        <f t="array" ref="P53">IF($K53=0,0,IFERROR(ROUNDUP(IF(ISNUMBER($K53),$K53,INDEX($D$1:$D53,$CD53)*INDEX(Premises!$A$13:$F$13,1,$CH53)/IF(OR($K53="T",$K53="D"),250,IF($K53="W",50,IF($K53="M",12,IF(OR($K53="HJ",$K53="HY"),2,IF(OR($K53="J",$K53="Y"),1,0)))))),0),0))</f>
        <v>0</v>
      </c>
      <c r="Q53" s="620" cm="1">
        <f t="array" ref="Q53">IF($K53=0,0,IFERROR(INDEX(Premises!$A$22:$F$22,1,$CH53)*100/INDEX(Premises!$A$16:$F$16,1,$CH53),0))</f>
        <v>0</v>
      </c>
      <c r="R53" s="617">
        <f>IF($P53=0,0,IFERROR(($L53/60*($I53+$Q53*$M53)+($N53/60*($Q53*$O53)))/$P53,0))</f>
        <v>0</v>
      </c>
      <c r="S53" s="391"/>
      <c r="T53" s="392"/>
      <c r="U53" s="620" cm="1">
        <f t="array" ref="U53">IF(COUNTBLANK($S53:$T53),0,
IF(AND(INDEX(MHR[Schichtmodell],$CI53)&lt;&gt;0,INDEX(MHR[Schichtmodell],$CI53)&lt;&gt;INDEX(Premises!$A$20:$F$20,1,$CH53)),ExchangeRate*
IF(OR($T53="M",$T53="U"),IF(INDEX(MHR[Schichtmodell],$CI53)=1,INDEX(LOC[M1S],INDEX(Premises!$A$18:$F$18,1,$CH53+1)),IF(INDEX(MHR[Schichtmodell],$CI53)=2,INDEX(LOC[M2S],INDEX(Premises!$A$18:$F$18,1,$CH53+1),IF(INDEX(MHR[Schichtmodell],$CI53)=3,INDEX(LOC[M3S],INDEX(Premises!$A$18:$F$18,1,$CH53+1)),0)))),
IF(INDEX(MHR[Schichtmodell],$CI53)=1,INDEX(LOC[F1S],INDEX(Premises!$A$18:$F$18,1,$CH53+1)),IF(INDEX(MHR[Schichtmodell],$CI53)=2,INDEX(LOC[F2S],INDEX(Premises!$A$18:$F$18,1,$CH53+1)),IF(INDEX(MHR[Schichtmodell],$CI53)=3,INDEX(LOC[F3S],INDEX(Premises!$A$18:$F$18,1,$CH53+1)),0)))),
IF(OR($T53="M",$T53="U"),INDEX(Premises!$A$21:$F$21,1,$CH53),
IF(OR($T53="F",$T53="S"),INDEX(Premises!$A$22:$F$22,1,$CH53),0)))*100/INDEX(Premises!$A$16:$F$16,1,$CH53))</f>
        <v>0</v>
      </c>
      <c r="V53" s="614">
        <f t="shared" ref="V53:V60" si="143">IF($U53=0,0,IFERROR($F53/$H53/IF($G53="s",3600,IF($G53="min",60,IF($G53="h",1,0)))*$S53*$U53,0))</f>
        <v>0</v>
      </c>
      <c r="W53" s="393"/>
      <c r="X53" s="386"/>
      <c r="Y53" s="394"/>
      <c r="Z53" s="395"/>
      <c r="AA53" s="611">
        <f t="shared" ref="AA53:AA60" si="144">IFERROR($X53*$Z53/$Y53/MAX(1,$H53),0)</f>
        <v>0</v>
      </c>
      <c r="AB53" s="393"/>
      <c r="AC53" s="386"/>
      <c r="AD53" s="394"/>
      <c r="AE53" s="396"/>
      <c r="AF53" s="611">
        <f t="shared" ref="AF53:AF60" si="145">IFERROR($AC53*$AE53/$AD53,0)</f>
        <v>0</v>
      </c>
      <c r="AG53" s="612" cm="1">
        <f t="array" ref="AG53">IF(($J53+$V53+$AF53)=0,0,INDEX(Premises!$A$30:$F$30,1,$CH53)/100)</f>
        <v>0</v>
      </c>
      <c r="AH53" s="397"/>
      <c r="AI53" s="398"/>
      <c r="AJ53" s="399"/>
      <c r="AK53" s="613">
        <f t="shared" ref="AK53:AK60" si="146">IF(COUNTBLANK($AH53:$AI53),0,$AH53*$AI53*$AG53)</f>
        <v>0</v>
      </c>
      <c r="AL53" s="614">
        <f t="shared" ref="AL53:AL60" si="147">($AK53+$AJ53*$AG53*(1-$AH53)+($J53+$V53+$AF53)*$AG53*(1-$AH53))</f>
        <v>0</v>
      </c>
      <c r="AM53" s="615" cm="1">
        <f t="array" ref="AM53">IF($CI53=0,0,IFERROR(INDEX(MHR[],$CI53,MATCH($CA53,MHR!$B$4:$AY$4,0)+11),0))</f>
        <v>0</v>
      </c>
      <c r="AN53" s="616" cm="1">
        <f t="array" ref="AN53">IF(($J53+$V53)=0,0,IFERROR(IF(INDEX(Premises!$A$41:$F$41,1,$CH53)&lt;&gt;0,INDEX(Premises!$A$41:$F$41,1,$CH53)/100,(IFERROR(($J53/$I53)*$AM53,0)/($V53+$J53+$R53+$AL53))),0))</f>
        <v>0</v>
      </c>
      <c r="AO53" s="617">
        <f t="shared" ref="AO53:AO60" si="148">IF(($J53+$V53)=0,0,IF(IFERROR(($J53+$R53+$V53+$AL53)*$AN53,0)&lt;&gt;IFERROR(($J53/$I53)*$AM53,0),($J53+$R53+$V53+$AL53)*$AN53,IFERROR(($J53/$I53)*$AM53,0)))</f>
        <v>0</v>
      </c>
      <c r="AP53" s="618">
        <f t="shared" ref="AP53:AP60" si="149">$V53+$J53+$R53+$AA53+$AF53+$AL53+$AO53</f>
        <v>0</v>
      </c>
      <c r="AQ53" s="393" t="s">
        <v>4065</v>
      </c>
      <c r="AR53" s="392">
        <f>VLOOKUP(B52,BOM!$1:$1048576,6,0)</f>
        <v>1</v>
      </c>
      <c r="AS53" s="619" t="str" cm="1">
        <f t="array" ref="AS53">IF($CJ53=0,0,IFERROR(INDEX(MAT[Einheit],$CJ53,1),0))</f>
        <v>pcs.</v>
      </c>
      <c r="AT53" s="620" cm="1">
        <f t="array" ref="AT53">IF($CJ53=0,0,IFERROR(INDEX(MAT[Preis],$CJ53,1),0))</f>
        <v>2.3572328069219211</v>
      </c>
      <c r="AU53" s="621">
        <f t="shared" ref="AU53:AU60" si="150">$AR53*$AT53</f>
        <v>2.3572328069219211</v>
      </c>
      <c r="AV53" s="622" cm="1">
        <f t="array" ref="AV53">IF($AU53&lt;=0,0,INDEX(Premises!$A$30:$F$30,1,$CH53)/100)</f>
        <v>0.01</v>
      </c>
      <c r="AW53" s="392"/>
      <c r="AX53" s="614">
        <f t="shared" ref="AX53:AX60" si="151">IF($AV53=0,0,($AU53+$AW53)*$AV53)</f>
        <v>2.357232806921921E-2</v>
      </c>
      <c r="AY53" s="623" cm="1">
        <f t="array" ref="AY53">IF($AT53&lt;=0,0,IFERROR(IF(INDEX(Premises!$A$42:$F$42,1,$CH53)&lt;&gt;0,INDEX(Premises!$A$42:$F$42,1,$CH53)/100,(INDEX(MAT[],$CJ53,MATCH($CA53,MAT!$B$4:$AE$4,0))/($AR53*$CK53*INDEX(Premises!$A$13:$F$13,1,$CH53))+INDEX(MAT[],$CJ53,MATCH($CA53,MAT!$B$4:$AE$4,0)+7))/$AT53),0))</f>
        <v>5.2054585261420046E-3</v>
      </c>
      <c r="AZ53" s="614">
        <f t="shared" ref="AZ53:AZ60" si="152">IF($AY53=0,0,($AU53+$AX53)*$AY53)</f>
        <v>1.2393182389022296E-2</v>
      </c>
      <c r="BA53" s="618">
        <f t="shared" ref="BA53:BA60" si="153">$AU53+$AX53+$AZ53</f>
        <v>2.3931983173801625</v>
      </c>
      <c r="BB53" s="618">
        <f t="shared" ref="BB53:BB60" si="154">$AP53+$BA53</f>
        <v>2.3931983173801625</v>
      </c>
      <c r="BC53" s="622" cm="1">
        <f t="array" ref="BC53">IF($BB53&lt;=0,0,IF(BC$2=-1,0,INDEX(Premises!$A$32:$F$32,1,$CH53)/100))</f>
        <v>0</v>
      </c>
      <c r="BD53" s="614">
        <f t="shared" ref="BD53:BD60" si="155">IF($AP53&lt;=0,0,($AP53-$AA53-$AL53)*$BC53)</f>
        <v>0</v>
      </c>
      <c r="BE53" s="622" cm="1">
        <f t="array" ref="BE53">IF($BB53&lt;=0,0,IF(BE$2=-1,0,INDEX(Premises!$A$33:$F$33,1,$CH53)/100))</f>
        <v>0</v>
      </c>
      <c r="BF53" s="614">
        <f t="shared" ref="BF53:BF60" si="156">IF($BA53&lt;=0,0,$BA53*$BE53)</f>
        <v>0</v>
      </c>
      <c r="BG53" s="622" cm="1">
        <f t="array" ref="BG53">IF($BB53&lt;=0,0,IF(BG$2=-1,0,INDEX(Premises!$A$31:$F$31,1,$CH53)/100))</f>
        <v>0.1</v>
      </c>
      <c r="BH53" s="614">
        <f t="shared" ref="BH53:BH60" si="157">(($AP53-$AA53-$AL53)+$BA53)*$BG53</f>
        <v>0.23931983173801627</v>
      </c>
      <c r="BI53" s="618">
        <f t="shared" ref="BI53:BI60" si="158">$BB53+$BD53+$BF53+$BH53</f>
        <v>2.6325181491181788</v>
      </c>
      <c r="BJ53" s="622" cm="1">
        <f t="array" ref="BJ53">IF($BB53&lt;=0,0,IF(BJ$2=-1,0,INDEX(Premises!$A$35:$F$35,1,$CH53)/100))</f>
        <v>0</v>
      </c>
      <c r="BK53" s="614">
        <f t="shared" ref="BK53:BK60" si="159">IF($AP53&lt;=0,0,($AP53-$AL53-$AA53)*$BJ53)</f>
        <v>0</v>
      </c>
      <c r="BL53" s="622" cm="1">
        <f t="array" ref="BL53">IF($BB53&lt;=0,0,IF(BL$2=-1,0,INDEX(Premises!$A$36:$F$36,1,$CH53)/100))</f>
        <v>0</v>
      </c>
      <c r="BM53" s="614">
        <f t="shared" ref="BM53:BM60" si="160">IF($AU53&lt;=0,0,($AR53*$AT53)*$BL53)</f>
        <v>0</v>
      </c>
      <c r="BN53" s="622" cm="1">
        <f t="array" ref="BN53">IF($BB53&lt;=0,0,IF(BN$2=-1,0,INDEX(Premises!$A$34:$F$34,1,$CH53)/100))</f>
        <v>0.06</v>
      </c>
      <c r="BO53" s="614">
        <f t="shared" ref="BO53:BO60" si="161">(($AP53-$AL53-$AA53)+($AR53*$AT53))*$BN53</f>
        <v>0.14143396841531525</v>
      </c>
      <c r="BP53" s="622" cm="1">
        <f t="array" ref="BP53">IF($BI53=0,0,INDEX(Premises!$A$37:$F$37,1,$CH53)/100)</f>
        <v>0</v>
      </c>
      <c r="BQ53" s="392"/>
      <c r="BR53" s="614">
        <f t="shared" ref="BR53:BR60" si="162">($BI53+$BK53+$BM53+$BO53)*$BP53+$BQ53</f>
        <v>0</v>
      </c>
      <c r="BS53" s="624">
        <f t="shared" ref="BS53:BS60" si="163">BI53+BK53+BM53+BO53+BR53</f>
        <v>2.773952117533494</v>
      </c>
      <c r="BT53" s="624">
        <f t="shared" ref="BT53:BT60" si="164">IF($BS53=0,0,$CK53*$BS53)</f>
        <v>2.773952117533494</v>
      </c>
      <c r="BU53" s="625">
        <f t="shared" ref="BU53:BU60" si="165">IF($BT53=0,0,MAX(1,$EB53/$DP53))</f>
        <v>1</v>
      </c>
      <c r="BV53" s="400"/>
      <c r="BW53" s="401"/>
      <c r="BX53" s="401"/>
      <c r="BY53" s="402"/>
      <c r="BZ53" s="946"/>
      <c r="CA53" s="263" cm="1">
        <f t="array" ref="CA53">IF($BZ53&gt;0,VALUE(LEFT($BZ53,IF(ISERROR(FIND("-",$BZ53)),LEN($BZ53),FIND("-",$BZ53)-1))),INDEX($CA$1:$CA53,MAX(1,$CD53)))</f>
        <v>1</v>
      </c>
      <c r="CB53" s="263" cm="1">
        <f t="array" ref="CB53">IF($BT53=0,0,IF(LEN($BZ53)-LEN(SUBSTITUTE($BZ53,"-",""))&gt;1,
VALUE(MID($BZ53,FIND("-",$BZ53)+1,FIND("-",$BZ53,FIND("-",$BZ53)+1)-FIND("-",$BZ53)-1)),IF($BZ53&gt;0,0,INDEX($CB$1:$CB53,MAX(1,$CD53)))))</f>
        <v>0</v>
      </c>
      <c r="CC53" s="263" cm="1">
        <f t="array" ref="CC53">IF($BT53=0,0,IF(NOT(ISERROR(FIND("-",BZ53))),
VALUE(RIGHT($BZ53,LEN($BZ53)-IF(LEN($BZ53)-LEN(SUBSTITUTE($BZ53,"-",""))=1,FIND("-",$BZ53),FIND("-",$BZ53,FIND("-",$BZ53)+1)))),
IF($BZ53&gt;0,0,INDEX($CC$1:$CC53,MAX(1,$CD53)))))</f>
        <v>0</v>
      </c>
      <c r="CD53" s="376">
        <f>MATCH(0,$CE$1:$CE53,-1)</f>
        <v>52</v>
      </c>
      <c r="CE53" s="263"/>
      <c r="CF53" s="377"/>
      <c r="CG53" s="376" cm="1">
        <f t="array" ref="CG53">INDEX($CG$1:$CG53,$CD53)</f>
        <v>8</v>
      </c>
      <c r="CH53" s="263">
        <f>MATCH($CA53,Premises!$A$10:$F$10,0)</f>
        <v>4</v>
      </c>
      <c r="CI53" s="263">
        <f>IF(ISBLANK($E53),0,IFERROR(MATCH($E53,MHR[Bezeichnung],0),0))</f>
        <v>0</v>
      </c>
      <c r="CJ53" s="377">
        <f>IF(ISBLANK($AQ53),0,IFERROR(MATCH($AQ53,MAT[Bezeichnung],0),0))</f>
        <v>4</v>
      </c>
      <c r="CK53" s="263" cm="1">
        <f t="array" ref="CK53">INDEX($D$1:$D53,$CD53)</f>
        <v>1</v>
      </c>
      <c r="CL53" s="263"/>
      <c r="CM53" s="378"/>
      <c r="CN53" s="379" cm="1">
        <f t="array" ref="CN53">IF($CB53=0,0,IF($CB53=INDEX($CB$1:$CB53,$CD53),INDEX($CN$1:$CN53,$CD53),$CP53))</f>
        <v>0</v>
      </c>
      <c r="CO53" s="378"/>
      <c r="CP53" s="379" cm="1">
        <f t="array" ref="CP53">IF($CC53=0,0,INDEX($CP$1:$CP53,$CD53))</f>
        <v>0</v>
      </c>
      <c r="CQ53" s="380"/>
      <c r="CR53" s="381"/>
      <c r="CS53" s="381"/>
      <c r="CT53" s="948"/>
      <c r="CU53" s="2"/>
      <c r="CV53" s="630">
        <f t="shared" ref="CV53:CV60" si="166">$J53*$CK53</f>
        <v>0</v>
      </c>
      <c r="CW53" s="631">
        <f t="shared" ref="CW53:CW60" si="167">$R53*$CK53</f>
        <v>0</v>
      </c>
      <c r="CX53" s="631">
        <f t="shared" ref="CX53:CX60" si="168">$V53*$CK53</f>
        <v>0</v>
      </c>
      <c r="CY53" s="631">
        <f t="shared" ref="CY53:CY60" si="169">$AA53*$CK53</f>
        <v>0</v>
      </c>
      <c r="CZ53" s="631">
        <f t="shared" ref="CZ53:CZ60" si="170">$AF53*$CK53</f>
        <v>0</v>
      </c>
      <c r="DA53" s="631">
        <f t="shared" ref="DA53:DA60" si="171">$AL53*$CK53</f>
        <v>0</v>
      </c>
      <c r="DB53" s="631">
        <f t="shared" ref="DB53:DB60" si="172">$AO53*$CK53</f>
        <v>0</v>
      </c>
      <c r="DC53" s="632">
        <f t="shared" ref="DC53:DC60" si="173">$AP53*$CK53</f>
        <v>0</v>
      </c>
      <c r="DD53" s="631">
        <f t="shared" ref="DD53:DD60" si="174">$AU53*$CK53</f>
        <v>2.3572328069219211</v>
      </c>
      <c r="DE53" s="631">
        <f t="shared" ref="DE53:DE60" si="175">$AX53*$CK53</f>
        <v>2.357232806921921E-2</v>
      </c>
      <c r="DF53" s="631">
        <f t="shared" ref="DF53:DF60" si="176">$AZ53*$CK53</f>
        <v>1.2393182389022296E-2</v>
      </c>
      <c r="DG53" s="632">
        <f t="shared" ref="DG53:DG60" si="177">$BA53*$CK53</f>
        <v>2.3931983173801625</v>
      </c>
      <c r="DH53" s="632">
        <f t="shared" ref="DH53:DH60" si="178">$BB53*$CK53</f>
        <v>2.3931983173801625</v>
      </c>
      <c r="DI53" s="631">
        <f t="shared" ref="DI53:DI60" si="179">$BD53*$CK53</f>
        <v>0</v>
      </c>
      <c r="DJ53" s="631">
        <f t="shared" ref="DJ53:DJ60" si="180">$BF53*$CK53</f>
        <v>0</v>
      </c>
      <c r="DK53" s="631">
        <f t="shared" ref="DK53:DK60" si="181">$BH53*$CK53</f>
        <v>0.23931983173801627</v>
      </c>
      <c r="DL53" s="631">
        <f t="shared" ref="DL53:DL60" si="182">$BK53*$CK53</f>
        <v>0</v>
      </c>
      <c r="DM53" s="631">
        <f t="shared" ref="DM53:DM60" si="183">$BM53*$CK53</f>
        <v>0</v>
      </c>
      <c r="DN53" s="631">
        <f t="shared" ref="DN53:DN60" si="184">$BO53*$CK53</f>
        <v>0.14143396841531525</v>
      </c>
      <c r="DO53" s="631">
        <f t="shared" ref="DO53:DO60" si="185">$BR53*$CK53</f>
        <v>0</v>
      </c>
      <c r="DP53" s="634">
        <f t="shared" ref="DP53:DP60" si="186">$CK53*($BB53+$BD53+$BF53+$BH53+$BK53+$BM53+$BO53+$BR53)</f>
        <v>2.773952117533494</v>
      </c>
      <c r="DQ53" s="929">
        <f>IF($CB53=0,0,$DP53*_xlfn.XLOOKUP($CB53,Premises!$A$10:$F$10,Premises!$A$30:$F$30)/100)</f>
        <v>0</v>
      </c>
      <c r="DR53" s="633">
        <f>IFERROR(SUM($DP53:$DQ53)*IF(INDEX(Premises!$A$42:$F$42,1,MATCH($CB53,Premises!$A$10:$F$10,0))&gt;0,INDEX(Premises!$A$42:$F$42,1,MATCH($CB53,Premises!$A$10:$F$10,0))%,$CN53),0)</f>
        <v>0</v>
      </c>
      <c r="DS53" s="633" cm="1">
        <f t="array" ref="DS53">IF($CB53=0,0,SUM($DP53:$DR53)*_xlfn.XLOOKUP($CB53,Premises!$A$10:$F$10,IF(INDEX(Settings[],MATCH(3001,Settings[ID],0),2)="B",Premises!$A$33:$F$33,Premises!$A$31:$F$31))/100)</f>
        <v>0</v>
      </c>
      <c r="DT53" s="633" cm="1">
        <f t="array" ref="DT53">IF($CB53=0,0,$DP53*_xlfn.XLOOKUP($CB53,Premises!$A$10:$F$10,IF(INDEX(Settings[],MATCH(3002,Settings[ID],0),2)="B",Premises!$A$36:$F$36,Premises!$A$34:$F$34))/100)</f>
        <v>0</v>
      </c>
      <c r="DU53" s="633">
        <f>IF($CB53=0,0,SUM($DP53:$DT53)*_xlfn.XLOOKUP($CB53,Premises!$A$10:$F$10,Premises!$A$37:$F$37)/100)</f>
        <v>0</v>
      </c>
      <c r="DV53" s="932">
        <f t="shared" ref="DV53:DV60" si="187">SUM($DP53:$DU53)</f>
        <v>2.773952117533494</v>
      </c>
      <c r="DW53" s="929">
        <f>IF($CC53=0,0,$DV53*_xlfn.XLOOKUP($CC53,Premises!$A$10:$F$10,Premises!$A$30:$F$30)/100)</f>
        <v>0</v>
      </c>
      <c r="DX53" s="633">
        <f>IFERROR(SUM($DV53:$DW53)*IF(INDEX(Premises!$A$42:$F$42,1,MATCH($CC53,Premises!$A$10:$F$10,0))&gt;0,INDEX(Premises!$A$42:$F$42,1,MATCH($CC53,Premises!$A$10:$F$10,0))%,$CP53),0)</f>
        <v>0</v>
      </c>
      <c r="DY53" s="633" cm="1">
        <f t="array" ref="DY53">IF($CC53=0,0,SUM($DV53:$DX53)*_xlfn.XLOOKUP($CC53,Premises!$A$10:$F$10,IF(INDEX(Settings[],MATCH(3001,Settings[ID],0),2)="B",Premises!$A$33:$F$33,Premises!$A$31:$F$31))/100)</f>
        <v>0</v>
      </c>
      <c r="DZ53" s="633" cm="1">
        <f t="array" ref="DZ53">IF($CC53=0,0,$DV53*_xlfn.XLOOKUP($CC53,Premises!$A$10:$F$10,IF(INDEX(Settings[],MATCH(3002,Settings[ID],0),2)="B",Premises!$A$36:$F$36,Premises!$A$34:$F$34))/100)</f>
        <v>0</v>
      </c>
      <c r="EA53" s="633">
        <f>IF($CC53=0,0,SUM($DV53:$DZ53)*_xlfn.XLOOKUP($CC53,Premises!$A$10:$F$10,Premises!$A$37:$F$37)/100)</f>
        <v>0</v>
      </c>
      <c r="EB53" s="634">
        <f t="shared" ref="EB53:EB60" si="188">SUM($DV53:$EA53)</f>
        <v>2.773952117533494</v>
      </c>
      <c r="EC53" s="783"/>
      <c r="ED53" s="1082"/>
      <c r="EE53" s="633"/>
      <c r="EF53" s="1088"/>
      <c r="EG53" s="1086"/>
      <c r="EH53" s="1086"/>
      <c r="EI53" s="1086"/>
      <c r="EJ53" s="1086"/>
      <c r="EK53" s="1086"/>
      <c r="EL53" s="1086"/>
      <c r="EM53" s="1088"/>
      <c r="EN53" s="1086"/>
      <c r="EO53" s="1086"/>
      <c r="EP53" s="1086"/>
      <c r="EQ53" s="1086"/>
      <c r="ER53" s="1088"/>
      <c r="ES53" s="1086"/>
      <c r="ET53" s="1086"/>
      <c r="EU53" s="1086"/>
      <c r="EV53" s="1086"/>
      <c r="EW53" s="1086"/>
      <c r="EX53" s="1089"/>
      <c r="EY53" s="2"/>
      <c r="EZ53" s="2"/>
      <c r="FA53" s="2"/>
      <c r="FB53" s="2"/>
      <c r="FC53" s="2"/>
      <c r="FD53" s="2"/>
      <c r="FE53" s="2"/>
      <c r="FF53" s="2"/>
      <c r="FG53" s="2"/>
      <c r="FH53" s="2"/>
      <c r="FI53" s="2"/>
      <c r="FJ53" s="403"/>
      <c r="FK53" s="404"/>
      <c r="FL53" s="405"/>
      <c r="FM53" s="948"/>
    </row>
    <row r="54" spans="1:169" s="13" customFormat="1" ht="12.75" customHeight="1">
      <c r="A54" s="215"/>
      <c r="B54" s="385"/>
      <c r="C54" s="386"/>
      <c r="D54" s="629"/>
      <c r="E54" s="387"/>
      <c r="F54" s="388"/>
      <c r="G54" s="388"/>
      <c r="H54" s="388"/>
      <c r="I54" s="620" cm="1">
        <f t="array" ref="I54">IF($CI54=0,0,IFERROR(INDEX(MHR[],$CI54,MATCH($CA54,MHR!$B$4:$AY$4,0)),0))</f>
        <v>0</v>
      </c>
      <c r="J54" s="617">
        <f t="shared" si="142"/>
        <v>0</v>
      </c>
      <c r="K54" s="389"/>
      <c r="L54" s="390"/>
      <c r="M54" s="849"/>
      <c r="N54" s="390"/>
      <c r="O54" s="388"/>
      <c r="P54" s="628" cm="1">
        <f t="array" ref="P54">IF($K54=0,0,IFERROR(ROUNDUP(IF(ISNUMBER($K54),$K54,INDEX($D$1:$D54,$CD54)*INDEX(Premises!$A$13:$F$13,1,$CH54)/IF(OR($K54="T",$K54="D"),250,IF($K54="W",50,IF($K54="M",12,IF(OR($K54="HJ",$K54="HY"),2,IF(OR($K54="J",$K54="Y"),1,0)))))),0),0))</f>
        <v>0</v>
      </c>
      <c r="Q54" s="620" cm="1">
        <f t="array" ref="Q54">IF($K54=0,0,IFERROR(INDEX(Premises!$A$22:$F$22,1,$CH54)*100/INDEX(Premises!$A$16:$F$16,1,$CH54),0))</f>
        <v>0</v>
      </c>
      <c r="R54" s="617">
        <f>IF($P54=0,0,IFERROR(($L54/60*($I54+$Q54*$M54)+($N54/60*($Q54*$O54)))/$P54,0))</f>
        <v>0</v>
      </c>
      <c r="S54" s="391"/>
      <c r="T54" s="392"/>
      <c r="U54" s="620" cm="1">
        <f t="array" ref="U54">IF(COUNTBLANK($S54:$T54),0,
IF(AND(INDEX(MHR[Schichtmodell],$CI54)&lt;&gt;0,INDEX(MHR[Schichtmodell],$CI54)&lt;&gt;INDEX(Premises!$A$20:$F$20,1,$CH54)),ExchangeRate*
IF(OR($T54="M",$T54="U"),IF(INDEX(MHR[Schichtmodell],$CI54)=1,INDEX(LOC[M1S],INDEX(Premises!$A$18:$F$18,1,$CH54+1)),IF(INDEX(MHR[Schichtmodell],$CI54)=2,INDEX(LOC[M2S],INDEX(Premises!$A$18:$F$18,1,$CH54+1),IF(INDEX(MHR[Schichtmodell],$CI54)=3,INDEX(LOC[M3S],INDEX(Premises!$A$18:$F$18,1,$CH54+1)),0)))),
IF(INDEX(MHR[Schichtmodell],$CI54)=1,INDEX(LOC[F1S],INDEX(Premises!$A$18:$F$18,1,$CH54+1)),IF(INDEX(MHR[Schichtmodell],$CI54)=2,INDEX(LOC[F2S],INDEX(Premises!$A$18:$F$18,1,$CH54+1)),IF(INDEX(MHR[Schichtmodell],$CI54)=3,INDEX(LOC[F3S],INDEX(Premises!$A$18:$F$18,1,$CH54+1)),0)))),
IF(OR($T54="M",$T54="U"),INDEX(Premises!$A$21:$F$21,1,$CH54),
IF(OR($T54="F",$T54="S"),INDEX(Premises!$A$22:$F$22,1,$CH54),0)))*100/INDEX(Premises!$A$16:$F$16,1,$CH54))</f>
        <v>0</v>
      </c>
      <c r="V54" s="614">
        <f t="shared" si="143"/>
        <v>0</v>
      </c>
      <c r="W54" s="393"/>
      <c r="X54" s="386"/>
      <c r="Y54" s="394"/>
      <c r="Z54" s="395"/>
      <c r="AA54" s="611">
        <f t="shared" si="144"/>
        <v>0</v>
      </c>
      <c r="AB54" s="393"/>
      <c r="AC54" s="386"/>
      <c r="AD54" s="394"/>
      <c r="AE54" s="396"/>
      <c r="AF54" s="611">
        <f t="shared" si="145"/>
        <v>0</v>
      </c>
      <c r="AG54" s="612" cm="1">
        <f t="array" ref="AG54">IF(($J54+$V54+$AF54)=0,0,INDEX(Premises!$A$30:$F$30,1,$CH54)/100)</f>
        <v>0</v>
      </c>
      <c r="AH54" s="397"/>
      <c r="AI54" s="398"/>
      <c r="AJ54" s="399"/>
      <c r="AK54" s="613">
        <f t="shared" si="146"/>
        <v>0</v>
      </c>
      <c r="AL54" s="614">
        <f t="shared" si="147"/>
        <v>0</v>
      </c>
      <c r="AM54" s="615" cm="1">
        <f t="array" ref="AM54">IF($CI54=0,0,IFERROR(INDEX(MHR[],$CI54,MATCH($CA54,MHR!$B$4:$AY$4,0)+11),0))</f>
        <v>0</v>
      </c>
      <c r="AN54" s="616" cm="1">
        <f t="array" ref="AN54">IF(($J54+$V54)=0,0,IFERROR(IF(INDEX(Premises!$A$41:$F$41,1,$CH54)&lt;&gt;0,INDEX(Premises!$A$41:$F$41,1,$CH54)/100,(IFERROR(($J54/$I54)*$AM54,0)/($V54+$J54+$R54+$AL54))),0))</f>
        <v>0</v>
      </c>
      <c r="AO54" s="617">
        <f t="shared" si="148"/>
        <v>0</v>
      </c>
      <c r="AP54" s="618">
        <f t="shared" si="149"/>
        <v>0</v>
      </c>
      <c r="AQ54" s="393"/>
      <c r="AR54" s="392"/>
      <c r="AS54" s="619" cm="1">
        <f t="array" ref="AS54">IF($CJ54=0,0,IFERROR(INDEX(MAT[Einheit],$CJ54,1),0))</f>
        <v>0</v>
      </c>
      <c r="AT54" s="620" cm="1">
        <f t="array" ref="AT54">IF($CJ54=0,0,IFERROR(INDEX(MAT[Preis],$CJ54,1),0))</f>
        <v>0</v>
      </c>
      <c r="AU54" s="621">
        <f t="shared" si="150"/>
        <v>0</v>
      </c>
      <c r="AV54" s="622" cm="1">
        <f t="array" ref="AV54">IF($AU54&lt;=0,0,INDEX(Premises!$A$30:$F$30,1,$CH54)/100)</f>
        <v>0</v>
      </c>
      <c r="AW54" s="392"/>
      <c r="AX54" s="614">
        <f t="shared" si="151"/>
        <v>0</v>
      </c>
      <c r="AY54" s="623" cm="1">
        <f t="array" ref="AY54">IF($AT54&lt;=0,0,IFERROR(IF(INDEX(Premises!$A$42:$F$42,1,$CH54)&lt;&gt;0,INDEX(Premises!$A$42:$F$42,1,$CH54)/100,(INDEX(MAT[],$CJ54,MATCH($CA54,MAT!$B$4:$AE$4,0))/($AR54*$CK54*INDEX(Premises!$A$13:$F$13,1,$CH54))+INDEX(MAT[],$CJ54,MATCH($CA54,MAT!$B$4:$AE$4,0)+7))/$AT54),0))</f>
        <v>0</v>
      </c>
      <c r="AZ54" s="614">
        <f t="shared" si="152"/>
        <v>0</v>
      </c>
      <c r="BA54" s="618">
        <f t="shared" si="153"/>
        <v>0</v>
      </c>
      <c r="BB54" s="618">
        <f t="shared" si="154"/>
        <v>0</v>
      </c>
      <c r="BC54" s="622" cm="1">
        <f t="array" ref="BC54">IF($BB54&lt;=0,0,IF(BC$2=-1,0,INDEX(Premises!$A$32:$F$32,1,$CH54)/100))</f>
        <v>0</v>
      </c>
      <c r="BD54" s="614">
        <f t="shared" si="155"/>
        <v>0</v>
      </c>
      <c r="BE54" s="622" cm="1">
        <f t="array" ref="BE54">IF($BB54&lt;=0,0,IF(BE$2=-1,0,INDEX(Premises!$A$33:$F$33,1,$CH54)/100))</f>
        <v>0</v>
      </c>
      <c r="BF54" s="614">
        <f t="shared" si="156"/>
        <v>0</v>
      </c>
      <c r="BG54" s="622" cm="1">
        <f t="array" ref="BG54">IF($BB54&lt;=0,0,IF(BG$2=-1,0,INDEX(Premises!$A$31:$F$31,1,$CH54)/100))</f>
        <v>0</v>
      </c>
      <c r="BH54" s="614">
        <f t="shared" si="157"/>
        <v>0</v>
      </c>
      <c r="BI54" s="618">
        <f t="shared" si="158"/>
        <v>0</v>
      </c>
      <c r="BJ54" s="622" cm="1">
        <f t="array" ref="BJ54">IF($BB54&lt;=0,0,IF(BJ$2=-1,0,INDEX(Premises!$A$35:$F$35,1,$CH54)/100))</f>
        <v>0</v>
      </c>
      <c r="BK54" s="614">
        <f t="shared" si="159"/>
        <v>0</v>
      </c>
      <c r="BL54" s="622" cm="1">
        <f t="array" ref="BL54">IF($BB54&lt;=0,0,IF(BL$2=-1,0,INDEX(Premises!$A$36:$F$36,1,$CH54)/100))</f>
        <v>0</v>
      </c>
      <c r="BM54" s="614">
        <f t="shared" si="160"/>
        <v>0</v>
      </c>
      <c r="BN54" s="622" cm="1">
        <f t="array" ref="BN54">IF($BB54&lt;=0,0,IF(BN$2=-1,0,INDEX(Premises!$A$34:$F$34,1,$CH54)/100))</f>
        <v>0</v>
      </c>
      <c r="BO54" s="614">
        <f t="shared" si="161"/>
        <v>0</v>
      </c>
      <c r="BP54" s="622" cm="1">
        <f t="array" ref="BP54">IF($BI54=0,0,INDEX(Premises!$A$37:$F$37,1,$CH54)/100)</f>
        <v>0</v>
      </c>
      <c r="BQ54" s="392"/>
      <c r="BR54" s="614">
        <f t="shared" si="162"/>
        <v>0</v>
      </c>
      <c r="BS54" s="624">
        <f t="shared" si="163"/>
        <v>0</v>
      </c>
      <c r="BT54" s="624">
        <f t="shared" si="164"/>
        <v>0</v>
      </c>
      <c r="BU54" s="625">
        <f t="shared" si="165"/>
        <v>0</v>
      </c>
      <c r="BV54" s="400"/>
      <c r="BW54" s="401"/>
      <c r="BX54" s="401"/>
      <c r="BY54" s="402"/>
      <c r="BZ54" s="946"/>
      <c r="CA54" s="263" cm="1">
        <f t="array" ref="CA54">IF($BZ54&gt;0,VALUE(LEFT($BZ54,IF(ISERROR(FIND("-",$BZ54)),LEN($BZ54),FIND("-",$BZ54)-1))),INDEX($CA$1:$CA54,MAX(1,$CD54)))</f>
        <v>1</v>
      </c>
      <c r="CB54" s="263" cm="1">
        <f t="array" ref="CB54">IF($BT54=0,0,IF(LEN($BZ54)-LEN(SUBSTITUTE($BZ54,"-",""))&gt;1,
VALUE(MID($BZ54,FIND("-",$BZ54)+1,FIND("-",$BZ54,FIND("-",$BZ54)+1)-FIND("-",$BZ54)-1)),IF($BZ54&gt;0,0,INDEX($CB$1:$CB54,MAX(1,$CD54)))))</f>
        <v>0</v>
      </c>
      <c r="CC54" s="263" cm="1">
        <f t="array" ref="CC54">IF($BT54=0,0,IF(NOT(ISERROR(FIND("-",BZ54))),
VALUE(RIGHT($BZ54,LEN($BZ54)-IF(LEN($BZ54)-LEN(SUBSTITUTE($BZ54,"-",""))=1,FIND("-",$BZ54),FIND("-",$BZ54,FIND("-",$BZ54)+1)))),
IF($BZ54&gt;0,0,INDEX($CC$1:$CC54,MAX(1,$CD54)))))</f>
        <v>0</v>
      </c>
      <c r="CD54" s="376">
        <f>MATCH(0,$CE$1:$CE54,-1)</f>
        <v>52</v>
      </c>
      <c r="CE54" s="263"/>
      <c r="CF54" s="377"/>
      <c r="CG54" s="376" cm="1">
        <f t="array" ref="CG54">INDEX($CG$1:$CG54,$CD54)</f>
        <v>8</v>
      </c>
      <c r="CH54" s="263">
        <f>MATCH($CA54,Premises!$A$10:$F$10,0)</f>
        <v>4</v>
      </c>
      <c r="CI54" s="263">
        <f>IF(ISBLANK($E54),0,IFERROR(MATCH($E54,MHR[Bezeichnung],0),0))</f>
        <v>0</v>
      </c>
      <c r="CJ54" s="377">
        <f>IF(ISBLANK($AQ54),0,IFERROR(MATCH($AQ54,MAT[Bezeichnung],0),0))</f>
        <v>0</v>
      </c>
      <c r="CK54" s="263" cm="1">
        <f t="array" ref="CK54">INDEX($D$1:$D54,$CD54)</f>
        <v>1</v>
      </c>
      <c r="CL54" s="263"/>
      <c r="CM54" s="378"/>
      <c r="CN54" s="379" cm="1">
        <f t="array" ref="CN54">IF($CB54=0,0,IF($CB54=INDEX($CB$1:$CB54,$CD54),INDEX($CN$1:$CN54,$CD54),$CP54))</f>
        <v>0</v>
      </c>
      <c r="CO54" s="378"/>
      <c r="CP54" s="379" cm="1">
        <f t="array" ref="CP54">IF($CC54=0,0,INDEX($CP$1:$CP54,$CD54))</f>
        <v>0</v>
      </c>
      <c r="CQ54" s="380"/>
      <c r="CR54" s="381"/>
      <c r="CS54" s="381"/>
      <c r="CT54" s="948"/>
      <c r="CU54" s="2"/>
      <c r="CV54" s="630">
        <f t="shared" si="166"/>
        <v>0</v>
      </c>
      <c r="CW54" s="631">
        <f t="shared" si="167"/>
        <v>0</v>
      </c>
      <c r="CX54" s="631">
        <f t="shared" si="168"/>
        <v>0</v>
      </c>
      <c r="CY54" s="631">
        <f t="shared" si="169"/>
        <v>0</v>
      </c>
      <c r="CZ54" s="631">
        <f t="shared" si="170"/>
        <v>0</v>
      </c>
      <c r="DA54" s="631">
        <f t="shared" si="171"/>
        <v>0</v>
      </c>
      <c r="DB54" s="631">
        <f t="shared" si="172"/>
        <v>0</v>
      </c>
      <c r="DC54" s="632">
        <f t="shared" si="173"/>
        <v>0</v>
      </c>
      <c r="DD54" s="631">
        <f t="shared" si="174"/>
        <v>0</v>
      </c>
      <c r="DE54" s="631">
        <f t="shared" si="175"/>
        <v>0</v>
      </c>
      <c r="DF54" s="631">
        <f t="shared" si="176"/>
        <v>0</v>
      </c>
      <c r="DG54" s="632">
        <f t="shared" si="177"/>
        <v>0</v>
      </c>
      <c r="DH54" s="632">
        <f t="shared" si="178"/>
        <v>0</v>
      </c>
      <c r="DI54" s="631">
        <f t="shared" si="179"/>
        <v>0</v>
      </c>
      <c r="DJ54" s="631">
        <f t="shared" si="180"/>
        <v>0</v>
      </c>
      <c r="DK54" s="631">
        <f t="shared" si="181"/>
        <v>0</v>
      </c>
      <c r="DL54" s="631">
        <f t="shared" si="182"/>
        <v>0</v>
      </c>
      <c r="DM54" s="631">
        <f t="shared" si="183"/>
        <v>0</v>
      </c>
      <c r="DN54" s="631">
        <f t="shared" si="184"/>
        <v>0</v>
      </c>
      <c r="DO54" s="631">
        <f t="shared" si="185"/>
        <v>0</v>
      </c>
      <c r="DP54" s="634">
        <f t="shared" si="186"/>
        <v>0</v>
      </c>
      <c r="DQ54" s="929">
        <f>IF($CB54=0,0,$DP54*_xlfn.XLOOKUP($CB54,Premises!$A$10:$F$10,Premises!$A$30:$F$30)/100)</f>
        <v>0</v>
      </c>
      <c r="DR54" s="633">
        <f>IFERROR(SUM($DP54:$DQ54)*IF(INDEX(Premises!$A$42:$F$42,1,MATCH($CB54,Premises!$A$10:$F$10,0))&gt;0,INDEX(Premises!$A$42:$F$42,1,MATCH($CB54,Premises!$A$10:$F$10,0))%,$CN54),0)</f>
        <v>0</v>
      </c>
      <c r="DS54" s="633" cm="1">
        <f t="array" ref="DS54">IF($CB54=0,0,SUM($DP54:$DR54)*_xlfn.XLOOKUP($CB54,Premises!$A$10:$F$10,IF(INDEX(Settings[],MATCH(3001,Settings[ID],0),2)="B",Premises!$A$33:$F$33,Premises!$A$31:$F$31))/100)</f>
        <v>0</v>
      </c>
      <c r="DT54" s="633" cm="1">
        <f t="array" ref="DT54">IF($CB54=0,0,$DP54*_xlfn.XLOOKUP($CB54,Premises!$A$10:$F$10,IF(INDEX(Settings[],MATCH(3002,Settings[ID],0),2)="B",Premises!$A$36:$F$36,Premises!$A$34:$F$34))/100)</f>
        <v>0</v>
      </c>
      <c r="DU54" s="633">
        <f>IF($CB54=0,0,SUM($DP54:$DT54)*_xlfn.XLOOKUP($CB54,Premises!$A$10:$F$10,Premises!$A$37:$F$37)/100)</f>
        <v>0</v>
      </c>
      <c r="DV54" s="932">
        <f t="shared" si="187"/>
        <v>0</v>
      </c>
      <c r="DW54" s="929">
        <f>IF($CC54=0,0,$DV54*_xlfn.XLOOKUP($CC54,Premises!$A$10:$F$10,Premises!$A$30:$F$30)/100)</f>
        <v>0</v>
      </c>
      <c r="DX54" s="633">
        <f>IFERROR(SUM($DV54:$DW54)*IF(INDEX(Premises!$A$42:$F$42,1,MATCH($CC54,Premises!$A$10:$F$10,0))&gt;0,INDEX(Premises!$A$42:$F$42,1,MATCH($CC54,Premises!$A$10:$F$10,0))%,$CP54),0)</f>
        <v>0</v>
      </c>
      <c r="DY54" s="633" cm="1">
        <f t="array" ref="DY54">IF($CC54=0,0,SUM($DV54:$DX54)*_xlfn.XLOOKUP($CC54,Premises!$A$10:$F$10,IF(INDEX(Settings[],MATCH(3001,Settings[ID],0),2)="B",Premises!$A$33:$F$33,Premises!$A$31:$F$31))/100)</f>
        <v>0</v>
      </c>
      <c r="DZ54" s="633" cm="1">
        <f t="array" ref="DZ54">IF($CC54=0,0,$DV54*_xlfn.XLOOKUP($CC54,Premises!$A$10:$F$10,IF(INDEX(Settings[],MATCH(3002,Settings[ID],0),2)="B",Premises!$A$36:$F$36,Premises!$A$34:$F$34))/100)</f>
        <v>0</v>
      </c>
      <c r="EA54" s="633">
        <f>IF($CC54=0,0,SUM($DV54:$DZ54)*_xlfn.XLOOKUP($CC54,Premises!$A$10:$F$10,Premises!$A$37:$F$37)/100)</f>
        <v>0</v>
      </c>
      <c r="EB54" s="634">
        <f t="shared" si="188"/>
        <v>0</v>
      </c>
      <c r="EC54" s="783"/>
      <c r="ED54" s="1082"/>
      <c r="EE54" s="633"/>
      <c r="EF54" s="1088"/>
      <c r="EG54" s="1086"/>
      <c r="EH54" s="1086"/>
      <c r="EI54" s="1086"/>
      <c r="EJ54" s="1086"/>
      <c r="EK54" s="1086"/>
      <c r="EL54" s="1086"/>
      <c r="EM54" s="1088"/>
      <c r="EN54" s="1086"/>
      <c r="EO54" s="1086"/>
      <c r="EP54" s="1086"/>
      <c r="EQ54" s="1086"/>
      <c r="ER54" s="1088"/>
      <c r="ES54" s="1086"/>
      <c r="ET54" s="1086"/>
      <c r="EU54" s="1086"/>
      <c r="EV54" s="1086"/>
      <c r="EW54" s="1086"/>
      <c r="EX54" s="1089"/>
      <c r="EY54" s="2"/>
      <c r="EZ54" s="2"/>
      <c r="FA54" s="2"/>
      <c r="FB54" s="2"/>
      <c r="FC54" s="2"/>
      <c r="FD54" s="2"/>
      <c r="FE54" s="2"/>
      <c r="FF54" s="2"/>
      <c r="FG54" s="2"/>
      <c r="FH54" s="2"/>
      <c r="FI54" s="2"/>
      <c r="FJ54" s="403"/>
      <c r="FK54" s="404"/>
      <c r="FL54" s="405"/>
      <c r="FM54" s="948"/>
    </row>
    <row r="55" spans="1:169" s="13" customFormat="1" ht="12.75" customHeight="1">
      <c r="A55" s="215"/>
      <c r="B55" s="385"/>
      <c r="C55" s="386"/>
      <c r="D55" s="629"/>
      <c r="E55" s="387"/>
      <c r="F55" s="388"/>
      <c r="G55" s="388"/>
      <c r="H55" s="388"/>
      <c r="I55" s="620" cm="1">
        <f t="array" ref="I55">IF($CI55=0,0,IFERROR(INDEX(MHR[],$CI55,MATCH($CA55,MHR!$B$4:$AY$4,0)),0))</f>
        <v>0</v>
      </c>
      <c r="J55" s="617">
        <f t="shared" si="142"/>
        <v>0</v>
      </c>
      <c r="K55" s="389"/>
      <c r="L55" s="390"/>
      <c r="M55" s="849"/>
      <c r="N55" s="390"/>
      <c r="O55" s="388"/>
      <c r="P55" s="628" cm="1">
        <f t="array" ref="P55">IF($K55=0,0,IFERROR(ROUNDUP(IF(ISNUMBER($K55),$K55,INDEX($D$1:$D55,$CD55)*INDEX(Premises!$A$13:$F$13,1,$CH55)/IF(OR($K55="T",$K55="D"),250,IF($K55="W",50,IF($K55="M",12,IF(OR($K55="HJ",$K55="HY"),2,IF(OR($K55="J",$K55="Y"),1,0)))))),0),0))</f>
        <v>0</v>
      </c>
      <c r="Q55" s="620" cm="1">
        <f t="array" ref="Q55">IF($K55=0,0,IFERROR(INDEX(Premises!$A$22:$F$22,1,$CH55)*100/INDEX(Premises!$A$16:$F$16,1,$CH55),0))</f>
        <v>0</v>
      </c>
      <c r="R55" s="617">
        <f>IF($P55=0,0,IFERROR(($L55/60*($I55+$Q55*$M55)+($N55/60*($Q55*$O55)))/$P55,0))</f>
        <v>0</v>
      </c>
      <c r="S55" s="391"/>
      <c r="T55" s="392"/>
      <c r="U55" s="620" cm="1">
        <f t="array" ref="U55">IF(COUNTBLANK($S55:$T55),0,
IF(AND(INDEX(MHR[Schichtmodell],$CI55)&lt;&gt;0,INDEX(MHR[Schichtmodell],$CI55)&lt;&gt;INDEX(Premises!$A$20:$F$20,1,$CH55)),ExchangeRate*
IF(OR($T55="M",$T55="U"),IF(INDEX(MHR[Schichtmodell],$CI55)=1,INDEX(LOC[M1S],INDEX(Premises!$A$18:$F$18,1,$CH55+1)),IF(INDEX(MHR[Schichtmodell],$CI55)=2,INDEX(LOC[M2S],INDEX(Premises!$A$18:$F$18,1,$CH55+1),IF(INDEX(MHR[Schichtmodell],$CI55)=3,INDEX(LOC[M3S],INDEX(Premises!$A$18:$F$18,1,$CH55+1)),0)))),
IF(INDEX(MHR[Schichtmodell],$CI55)=1,INDEX(LOC[F1S],INDEX(Premises!$A$18:$F$18,1,$CH55+1)),IF(INDEX(MHR[Schichtmodell],$CI55)=2,INDEX(LOC[F2S],INDEX(Premises!$A$18:$F$18,1,$CH55+1)),IF(INDEX(MHR[Schichtmodell],$CI55)=3,INDEX(LOC[F3S],INDEX(Premises!$A$18:$F$18,1,$CH55+1)),0)))),
IF(OR($T55="M",$T55="U"),INDEX(Premises!$A$21:$F$21,1,$CH55),
IF(OR($T55="F",$T55="S"),INDEX(Premises!$A$22:$F$22,1,$CH55),0)))*100/INDEX(Premises!$A$16:$F$16,1,$CH55))</f>
        <v>0</v>
      </c>
      <c r="V55" s="614">
        <f t="shared" si="143"/>
        <v>0</v>
      </c>
      <c r="W55" s="393"/>
      <c r="X55" s="386"/>
      <c r="Y55" s="394"/>
      <c r="Z55" s="395"/>
      <c r="AA55" s="611">
        <f t="shared" si="144"/>
        <v>0</v>
      </c>
      <c r="AB55" s="393"/>
      <c r="AC55" s="386"/>
      <c r="AD55" s="394"/>
      <c r="AE55" s="396"/>
      <c r="AF55" s="611">
        <f t="shared" si="145"/>
        <v>0</v>
      </c>
      <c r="AG55" s="612" cm="1">
        <f t="array" ref="AG55">IF(($J55+$V55+$AF55)=0,0,INDEX(Premises!$A$30:$F$30,1,$CH55)/100)</f>
        <v>0</v>
      </c>
      <c r="AH55" s="397"/>
      <c r="AI55" s="398"/>
      <c r="AJ55" s="399"/>
      <c r="AK55" s="613">
        <f t="shared" si="146"/>
        <v>0</v>
      </c>
      <c r="AL55" s="614">
        <f t="shared" si="147"/>
        <v>0</v>
      </c>
      <c r="AM55" s="615" cm="1">
        <f t="array" ref="AM55">IF($CI55=0,0,IFERROR(INDEX(MHR[],$CI55,MATCH($CA55,MHR!$B$4:$AY$4,0)+11),0))</f>
        <v>0</v>
      </c>
      <c r="AN55" s="616" cm="1">
        <f t="array" ref="AN55">IF(($J55+$V55)=0,0,IFERROR(IF(INDEX(Premises!$A$41:$F$41,1,$CH55)&lt;&gt;0,INDEX(Premises!$A$41:$F$41,1,$CH55)/100,(IFERROR(($J55/$I55)*$AM55,0)/($V55+$J55+$R55+$AL55))),0))</f>
        <v>0</v>
      </c>
      <c r="AO55" s="617">
        <f t="shared" si="148"/>
        <v>0</v>
      </c>
      <c r="AP55" s="618">
        <f t="shared" si="149"/>
        <v>0</v>
      </c>
      <c r="AQ55" s="393"/>
      <c r="AR55" s="392"/>
      <c r="AS55" s="619" cm="1">
        <f t="array" ref="AS55">IF($CJ55=0,0,IFERROR(INDEX(MAT[Einheit],$CJ55,1),0))</f>
        <v>0</v>
      </c>
      <c r="AT55" s="620" cm="1">
        <f t="array" ref="AT55">IF($CJ55=0,0,IFERROR(INDEX(MAT[Preis],$CJ55,1),0))</f>
        <v>0</v>
      </c>
      <c r="AU55" s="621">
        <f t="shared" si="150"/>
        <v>0</v>
      </c>
      <c r="AV55" s="622" cm="1">
        <f t="array" ref="AV55">IF($AU55&lt;=0,0,INDEX(Premises!$A$30:$F$30,1,$CH55)/100)</f>
        <v>0</v>
      </c>
      <c r="AW55" s="392"/>
      <c r="AX55" s="614">
        <f t="shared" si="151"/>
        <v>0</v>
      </c>
      <c r="AY55" s="623" cm="1">
        <f t="array" ref="AY55">IF($AT55&lt;=0,0,IFERROR(IF(INDEX(Premises!$A$42:$F$42,1,$CH55)&lt;&gt;0,INDEX(Premises!$A$42:$F$42,1,$CH55)/100,(INDEX(MAT[],$CJ55,MATCH($CA55,MAT!$B$4:$AE$4,0))/($AR55*$CK55*INDEX(Premises!$A$13:$F$13,1,$CH55))+INDEX(MAT[],$CJ55,MATCH($CA55,MAT!$B$4:$AE$4,0)+7))/$AT55),0))</f>
        <v>0</v>
      </c>
      <c r="AZ55" s="614">
        <f t="shared" si="152"/>
        <v>0</v>
      </c>
      <c r="BA55" s="618">
        <f t="shared" si="153"/>
        <v>0</v>
      </c>
      <c r="BB55" s="618">
        <f t="shared" si="154"/>
        <v>0</v>
      </c>
      <c r="BC55" s="622" cm="1">
        <f t="array" ref="BC55">IF($BB55&lt;=0,0,IF(BC$2=-1,0,INDEX(Premises!$A$32:$F$32,1,$CH55)/100))</f>
        <v>0</v>
      </c>
      <c r="BD55" s="614">
        <f t="shared" si="155"/>
        <v>0</v>
      </c>
      <c r="BE55" s="622" cm="1">
        <f t="array" ref="BE55">IF($BB55&lt;=0,0,IF(BE$2=-1,0,INDEX(Premises!$A$33:$F$33,1,$CH55)/100))</f>
        <v>0</v>
      </c>
      <c r="BF55" s="614">
        <f t="shared" si="156"/>
        <v>0</v>
      </c>
      <c r="BG55" s="622" cm="1">
        <f t="array" ref="BG55">IF($BB55&lt;=0,0,IF(BG$2=-1,0,INDEX(Premises!$A$31:$F$31,1,$CH55)/100))</f>
        <v>0</v>
      </c>
      <c r="BH55" s="614">
        <f t="shared" si="157"/>
        <v>0</v>
      </c>
      <c r="BI55" s="618">
        <f t="shared" si="158"/>
        <v>0</v>
      </c>
      <c r="BJ55" s="622" cm="1">
        <f t="array" ref="BJ55">IF($BB55&lt;=0,0,IF(BJ$2=-1,0,INDEX(Premises!$A$35:$F$35,1,$CH55)/100))</f>
        <v>0</v>
      </c>
      <c r="BK55" s="614">
        <f t="shared" si="159"/>
        <v>0</v>
      </c>
      <c r="BL55" s="622" cm="1">
        <f t="array" ref="BL55">IF($BB55&lt;=0,0,IF(BL$2=-1,0,INDEX(Premises!$A$36:$F$36,1,$CH55)/100))</f>
        <v>0</v>
      </c>
      <c r="BM55" s="614">
        <f t="shared" si="160"/>
        <v>0</v>
      </c>
      <c r="BN55" s="622" cm="1">
        <f t="array" ref="BN55">IF($BB55&lt;=0,0,IF(BN$2=-1,0,INDEX(Premises!$A$34:$F$34,1,$CH55)/100))</f>
        <v>0</v>
      </c>
      <c r="BO55" s="614">
        <f t="shared" si="161"/>
        <v>0</v>
      </c>
      <c r="BP55" s="622" cm="1">
        <f t="array" ref="BP55">IF($BI55=0,0,INDEX(Premises!$A$37:$F$37,1,$CH55)/100)</f>
        <v>0</v>
      </c>
      <c r="BQ55" s="392"/>
      <c r="BR55" s="614">
        <f t="shared" si="162"/>
        <v>0</v>
      </c>
      <c r="BS55" s="624">
        <f t="shared" si="163"/>
        <v>0</v>
      </c>
      <c r="BT55" s="624">
        <f t="shared" si="164"/>
        <v>0</v>
      </c>
      <c r="BU55" s="625">
        <f t="shared" si="165"/>
        <v>0</v>
      </c>
      <c r="BV55" s="1127"/>
      <c r="BW55" s="401"/>
      <c r="BX55" s="401"/>
      <c r="BY55" s="402"/>
      <c r="BZ55" s="946"/>
      <c r="CA55" s="263" cm="1">
        <f t="array" ref="CA55">IF($BZ55&gt;0,VALUE(LEFT($BZ55,IF(ISERROR(FIND("-",$BZ55)),LEN($BZ55),FIND("-",$BZ55)-1))),INDEX($CA$1:$CA55,MAX(1,$CD55)))</f>
        <v>1</v>
      </c>
      <c r="CB55" s="263" cm="1">
        <f t="array" ref="CB55">IF($BT55=0,0,IF(LEN($BZ55)-LEN(SUBSTITUTE($BZ55,"-",""))&gt;1,
VALUE(MID($BZ55,FIND("-",$BZ55)+1,FIND("-",$BZ55,FIND("-",$BZ55)+1)-FIND("-",$BZ55)-1)),IF($BZ55&gt;0,0,INDEX($CB$1:$CB55,MAX(1,$CD55)))))</f>
        <v>0</v>
      </c>
      <c r="CC55" s="263" cm="1">
        <f t="array" ref="CC55">IF($BT55=0,0,IF(NOT(ISERROR(FIND("-",BZ55))),
VALUE(RIGHT($BZ55,LEN($BZ55)-IF(LEN($BZ55)-LEN(SUBSTITUTE($BZ55,"-",""))=1,FIND("-",$BZ55),FIND("-",$BZ55,FIND("-",$BZ55)+1)))),
IF($BZ55&gt;0,0,INDEX($CC$1:$CC55,MAX(1,$CD55)))))</f>
        <v>0</v>
      </c>
      <c r="CD55" s="376">
        <f>MATCH(0,$CE$1:$CE55,-1)</f>
        <v>52</v>
      </c>
      <c r="CE55" s="263"/>
      <c r="CF55" s="377"/>
      <c r="CG55" s="376" cm="1">
        <f t="array" ref="CG55">INDEX($CG$1:$CG55,$CD55)</f>
        <v>8</v>
      </c>
      <c r="CH55" s="263">
        <f>MATCH($CA55,Premises!$A$10:$F$10,0)</f>
        <v>4</v>
      </c>
      <c r="CI55" s="263">
        <f>IF(ISBLANK($E55),0,IFERROR(MATCH($E55,MHR[Bezeichnung],0),0))</f>
        <v>0</v>
      </c>
      <c r="CJ55" s="377">
        <f>IF(ISBLANK($AQ55),0,IFERROR(MATCH($AQ55,MAT[Bezeichnung],0),0))</f>
        <v>0</v>
      </c>
      <c r="CK55" s="263" cm="1">
        <f t="array" ref="CK55">INDEX($D$1:$D55,$CD55)</f>
        <v>1</v>
      </c>
      <c r="CL55" s="263"/>
      <c r="CM55" s="378"/>
      <c r="CN55" s="379" cm="1">
        <f t="array" ref="CN55">IF($CB55=0,0,IF($CB55=INDEX($CB$1:$CB55,$CD55),INDEX($CN$1:$CN55,$CD55),$CP55))</f>
        <v>0</v>
      </c>
      <c r="CO55" s="378"/>
      <c r="CP55" s="379" cm="1">
        <f t="array" ref="CP55">IF($CC55=0,0,INDEX($CP$1:$CP55,$CD55))</f>
        <v>0</v>
      </c>
      <c r="CQ55" s="380"/>
      <c r="CR55" s="381"/>
      <c r="CS55" s="381"/>
      <c r="CT55" s="1132"/>
      <c r="CU55" s="1129"/>
      <c r="CV55" s="630">
        <f t="shared" si="166"/>
        <v>0</v>
      </c>
      <c r="CW55" s="631">
        <f t="shared" si="167"/>
        <v>0</v>
      </c>
      <c r="CX55" s="631">
        <f t="shared" si="168"/>
        <v>0</v>
      </c>
      <c r="CY55" s="631">
        <f t="shared" si="169"/>
        <v>0</v>
      </c>
      <c r="CZ55" s="631">
        <f t="shared" si="170"/>
        <v>0</v>
      </c>
      <c r="DA55" s="631">
        <f t="shared" si="171"/>
        <v>0</v>
      </c>
      <c r="DB55" s="631">
        <f t="shared" si="172"/>
        <v>0</v>
      </c>
      <c r="DC55" s="632">
        <f t="shared" si="173"/>
        <v>0</v>
      </c>
      <c r="DD55" s="631">
        <f t="shared" si="174"/>
        <v>0</v>
      </c>
      <c r="DE55" s="631">
        <f t="shared" si="175"/>
        <v>0</v>
      </c>
      <c r="DF55" s="631">
        <f t="shared" si="176"/>
        <v>0</v>
      </c>
      <c r="DG55" s="632">
        <f t="shared" si="177"/>
        <v>0</v>
      </c>
      <c r="DH55" s="632">
        <f t="shared" si="178"/>
        <v>0</v>
      </c>
      <c r="DI55" s="631">
        <f t="shared" si="179"/>
        <v>0</v>
      </c>
      <c r="DJ55" s="631">
        <f t="shared" si="180"/>
        <v>0</v>
      </c>
      <c r="DK55" s="631">
        <f t="shared" si="181"/>
        <v>0</v>
      </c>
      <c r="DL55" s="631">
        <f t="shared" si="182"/>
        <v>0</v>
      </c>
      <c r="DM55" s="631">
        <f t="shared" si="183"/>
        <v>0</v>
      </c>
      <c r="DN55" s="631">
        <f t="shared" si="184"/>
        <v>0</v>
      </c>
      <c r="DO55" s="631">
        <f t="shared" si="185"/>
        <v>0</v>
      </c>
      <c r="DP55" s="634">
        <f t="shared" si="186"/>
        <v>0</v>
      </c>
      <c r="DQ55" s="929">
        <f>IF($CB55=0,0,$DP55*_xlfn.XLOOKUP($CB55,Premises!$A$10:$F$10,Premises!$A$30:$F$30)/100)</f>
        <v>0</v>
      </c>
      <c r="DR55" s="633">
        <f>IFERROR(SUM($DP55:$DQ55)*IF(INDEX(Premises!$A$42:$F$42,1,MATCH($CB55,Premises!$A$10:$F$10,0))&gt;0,INDEX(Premises!$A$42:$F$42,1,MATCH($CB55,Premises!$A$10:$F$10,0))%,$CN55),0)</f>
        <v>0</v>
      </c>
      <c r="DS55" s="633" cm="1">
        <f t="array" ref="DS55">IF($CB55=0,0,SUM($DP55:$DR55)*_xlfn.XLOOKUP($CB55,Premises!$A$10:$F$10,IF(INDEX(Settings[],MATCH(3001,Settings[ID],0),2)="B",Premises!$A$33:$F$33,Premises!$A$31:$F$31))/100)</f>
        <v>0</v>
      </c>
      <c r="DT55" s="633" cm="1">
        <f t="array" ref="DT55">IF($CB55=0,0,$DP55*_xlfn.XLOOKUP($CB55,Premises!$A$10:$F$10,IF(INDEX(Settings[],MATCH(3002,Settings[ID],0),2)="B",Premises!$A$36:$F$36,Premises!$A$34:$F$34))/100)</f>
        <v>0</v>
      </c>
      <c r="DU55" s="633">
        <f>IF($CB55=0,0,SUM($DP55:$DT55)*_xlfn.XLOOKUP($CB55,Premises!$A$10:$F$10,Premises!$A$37:$F$37)/100)</f>
        <v>0</v>
      </c>
      <c r="DV55" s="932">
        <f t="shared" si="187"/>
        <v>0</v>
      </c>
      <c r="DW55" s="929">
        <f>IF($CC55=0,0,$DV55*_xlfn.XLOOKUP($CC55,Premises!$A$10:$F$10,Premises!$A$30:$F$30)/100)</f>
        <v>0</v>
      </c>
      <c r="DX55" s="633">
        <f>IFERROR(SUM($DV55:$DW55)*IF(INDEX(Premises!$A$42:$F$42,1,MATCH($CC55,Premises!$A$10:$F$10,0))&gt;0,INDEX(Premises!$A$42:$F$42,1,MATCH($CC55,Premises!$A$10:$F$10,0))%,$CP55),0)</f>
        <v>0</v>
      </c>
      <c r="DY55" s="633" cm="1">
        <f t="array" ref="DY55">IF($CC55=0,0,SUM($DV55:$DX55)*_xlfn.XLOOKUP($CC55,Premises!$A$10:$F$10,IF(INDEX(Settings[],MATCH(3001,Settings[ID],0),2)="B",Premises!$A$33:$F$33,Premises!$A$31:$F$31))/100)</f>
        <v>0</v>
      </c>
      <c r="DZ55" s="633" cm="1">
        <f t="array" ref="DZ55">IF($CC55=0,0,$DV55*_xlfn.XLOOKUP($CC55,Premises!$A$10:$F$10,IF(INDEX(Settings[],MATCH(3002,Settings[ID],0),2)="B",Premises!$A$36:$F$36,Premises!$A$34:$F$34))/100)</f>
        <v>0</v>
      </c>
      <c r="EA55" s="633">
        <f>IF($CC55=0,0,SUM($DV55:$DZ55)*_xlfn.XLOOKUP($CC55,Premises!$A$10:$F$10,Premises!$A$37:$F$37)/100)</f>
        <v>0</v>
      </c>
      <c r="EB55" s="634">
        <f t="shared" si="188"/>
        <v>0</v>
      </c>
      <c r="EC55" s="783"/>
      <c r="ED55" s="1082"/>
      <c r="EE55" s="633"/>
      <c r="EF55" s="1088"/>
      <c r="EG55" s="1086"/>
      <c r="EH55" s="1086"/>
      <c r="EI55" s="1086"/>
      <c r="EJ55" s="1086"/>
      <c r="EK55" s="1086"/>
      <c r="EL55" s="1086"/>
      <c r="EM55" s="1088"/>
      <c r="EN55" s="1086"/>
      <c r="EO55" s="1086"/>
      <c r="EP55" s="1086"/>
      <c r="EQ55" s="1086"/>
      <c r="ER55" s="1088"/>
      <c r="ES55" s="1086"/>
      <c r="ET55" s="1086"/>
      <c r="EU55" s="1086"/>
      <c r="EV55" s="1086"/>
      <c r="EW55" s="1086"/>
      <c r="EX55" s="1089"/>
      <c r="EY55" s="2"/>
      <c r="EZ55" s="2"/>
      <c r="FA55" s="2"/>
      <c r="FB55" s="2"/>
      <c r="FC55" s="2"/>
      <c r="FD55" s="2"/>
      <c r="FE55" s="2"/>
      <c r="FF55" s="2"/>
      <c r="FG55" s="2"/>
      <c r="FH55" s="2"/>
      <c r="FI55" s="2"/>
      <c r="FJ55" s="403"/>
      <c r="FK55" s="404"/>
      <c r="FL55" s="405"/>
      <c r="FM55" s="1133"/>
    </row>
    <row r="56" spans="1:169" s="13" customFormat="1" ht="12.75" customHeight="1">
      <c r="A56" s="215"/>
      <c r="B56" s="385" t="s">
        <v>4130</v>
      </c>
      <c r="C56" s="386"/>
      <c r="D56" s="629"/>
      <c r="E56" s="387" t="s">
        <v>4135</v>
      </c>
      <c r="F56" s="388">
        <v>41.1</v>
      </c>
      <c r="G56" s="388" t="s">
        <v>93</v>
      </c>
      <c r="H56" s="388">
        <v>12</v>
      </c>
      <c r="I56" s="620" cm="1">
        <f t="array" ref="I56">IF($CI56=0,0,IFERROR(INDEX(MHR[],$CI56,MATCH($CA56,MHR!$B$4:$AY$4,0)),0))</f>
        <v>48.837872708333336</v>
      </c>
      <c r="J56" s="617">
        <f t="shared" si="142"/>
        <v>4.6463809451678245E-2</v>
      </c>
      <c r="K56" s="389" t="s">
        <v>49</v>
      </c>
      <c r="L56" s="390">
        <v>30</v>
      </c>
      <c r="M56" s="849">
        <v>3</v>
      </c>
      <c r="N56" s="390"/>
      <c r="O56" s="388"/>
      <c r="P56" s="628">
        <v>3334</v>
      </c>
      <c r="Q56" s="620">
        <v>16.537500000000001</v>
      </c>
      <c r="R56" s="617">
        <v>1.5640783243351331E-2</v>
      </c>
      <c r="S56" s="391">
        <v>2</v>
      </c>
      <c r="T56" s="392" t="s">
        <v>275</v>
      </c>
      <c r="U56" s="620" cm="1">
        <f t="array" ref="U56">IF(COUNTBLANK($S56:$T56),0,
IF(AND(INDEX(MHR[Schichtmodell],$CI56)&lt;&gt;0,INDEX(MHR[Schichtmodell],$CI56)&lt;&gt;INDEX(Premises!$A$20:$F$20,1,$CH56)),ExchangeRate*
IF(OR($T56="M",$T56="U"),IF(INDEX(MHR[Schichtmodell],$CI56)=1,INDEX(LOC[M1S],INDEX(Premises!$A$18:$F$18,1,$CH56+1)),IF(INDEX(MHR[Schichtmodell],$CI56)=2,INDEX(LOC[M2S],INDEX(Premises!$A$18:$F$18,1,$CH56+1),IF(INDEX(MHR[Schichtmodell],$CI56)=3,INDEX(LOC[M3S],INDEX(Premises!$A$18:$F$18,1,$CH56+1)),0)))),
IF(INDEX(MHR[Schichtmodell],$CI56)=1,INDEX(LOC[F1S],INDEX(Premises!$A$18:$F$18,1,$CH56+1)),IF(INDEX(MHR[Schichtmodell],$CI56)=2,INDEX(LOC[F2S],INDEX(Premises!$A$18:$F$18,1,$CH56+1)),IF(INDEX(MHR[Schichtmodell],$CI56)=3,INDEX(LOC[F3S],INDEX(Premises!$A$18:$F$18,1,$CH56+1)),0)))),
IF(OR($T56="M",$T56="U"),INDEX(Premises!$A$21:$F$21,1,$CH56),
IF(OR($T56="F",$T56="S"),INDEX(Premises!$A$22:$F$22,1,$CH56),0)))*100/INDEX(Premises!$A$16:$F$16,1,$CH56))</f>
        <v>11.762499999999999</v>
      </c>
      <c r="V56" s="614">
        <f t="shared" si="143"/>
        <v>2.2381423611111111E-2</v>
      </c>
      <c r="W56" s="393"/>
      <c r="X56" s="386"/>
      <c r="Y56" s="394"/>
      <c r="Z56" s="395"/>
      <c r="AA56" s="611">
        <f t="shared" si="144"/>
        <v>0</v>
      </c>
      <c r="AB56" s="393"/>
      <c r="AC56" s="386"/>
      <c r="AD56" s="394"/>
      <c r="AE56" s="396"/>
      <c r="AF56" s="611">
        <f t="shared" si="145"/>
        <v>0</v>
      </c>
      <c r="AG56" s="612" cm="1">
        <f t="array" ref="AG56">IF(($J56+$V56+$AF56)=0,0,INDEX(Premises!$A$30:$F$30,1,$CH56)/100)</f>
        <v>0.01</v>
      </c>
      <c r="AH56" s="397"/>
      <c r="AI56" s="398"/>
      <c r="AJ56" s="399"/>
      <c r="AK56" s="613">
        <f t="shared" si="146"/>
        <v>0</v>
      </c>
      <c r="AL56" s="614">
        <f t="shared" si="147"/>
        <v>6.8845233062789365E-4</v>
      </c>
      <c r="AM56" s="615" cm="1">
        <f t="array" ref="AM56">IF($CI56=0,0,IFERROR(INDEX(MHR[],$CI56,MATCH($CA56,MHR!$B$4:$AY$4,0)+11),0))</f>
        <v>10.810270866302181</v>
      </c>
      <c r="AN56" s="616" cm="1">
        <f t="array" ref="AN56">IF(($J56+$V56)=0,0,IFERROR(IF(INDEX(Premises!$A$41:$F$41,1,$CH56)&lt;&gt;0,INDEX(Premises!$A$41:$F$41,1,$CH56)/100,(IFERROR(($J56/$I56)*$AM56,0)/($V56+$J56+$R56+$AL56))),0))</f>
        <v>0.12074946580458468</v>
      </c>
      <c r="AO56" s="617">
        <f t="shared" si="148"/>
        <v>1.0284771588079158E-2</v>
      </c>
      <c r="AP56" s="618">
        <f t="shared" si="149"/>
        <v>9.5459240224847738E-2</v>
      </c>
      <c r="AQ56" s="393"/>
      <c r="AR56" s="392"/>
      <c r="AS56" s="619" cm="1">
        <f t="array" ref="AS56">IF($CJ56=0,0,IFERROR(INDEX(MAT[Einheit],$CJ56,1),0))</f>
        <v>0</v>
      </c>
      <c r="AT56" s="620" cm="1">
        <f t="array" ref="AT56">IF($CJ56=0,0,IFERROR(INDEX(MAT[Preis],$CJ56,1),0))</f>
        <v>0</v>
      </c>
      <c r="AU56" s="621">
        <f t="shared" si="150"/>
        <v>0</v>
      </c>
      <c r="AV56" s="622" cm="1">
        <f t="array" ref="AV56">IF($AU56&lt;=0,0,INDEX(Premises!$A$30:$F$30,1,$CH56)/100)</f>
        <v>0</v>
      </c>
      <c r="AW56" s="392"/>
      <c r="AX56" s="614">
        <f t="shared" si="151"/>
        <v>0</v>
      </c>
      <c r="AY56" s="623" cm="1">
        <f t="array" ref="AY56">IF($AT56&lt;=0,0,IFERROR(IF(INDEX(Premises!$A$42:$F$42,1,$CH56)&lt;&gt;0,INDEX(Premises!$A$42:$F$42,1,$CH56)/100,(INDEX(MAT[],$CJ56,MATCH($CA56,MAT!$B$4:$AE$4,0))/($AR56*$CK56*INDEX(Premises!$A$13:$F$13,1,$CH56))+INDEX(MAT[],$CJ56,MATCH($CA56,MAT!$B$4:$AE$4,0)+7))/$AT56),0))</f>
        <v>0</v>
      </c>
      <c r="AZ56" s="614">
        <f t="shared" si="152"/>
        <v>0</v>
      </c>
      <c r="BA56" s="618">
        <f t="shared" si="153"/>
        <v>0</v>
      </c>
      <c r="BB56" s="618">
        <f t="shared" si="154"/>
        <v>9.5459240224847738E-2</v>
      </c>
      <c r="BC56" s="622" cm="1">
        <f t="array" ref="BC56">IF($BB56&lt;=0,0,IF(BC$2=-1,0,INDEX(Premises!$A$32:$F$32,1,$CH56)/100))</f>
        <v>0</v>
      </c>
      <c r="BD56" s="614">
        <f t="shared" si="155"/>
        <v>0</v>
      </c>
      <c r="BE56" s="622" cm="1">
        <f t="array" ref="BE56">IF($BB56&lt;=0,0,IF(BE$2=-1,0,INDEX(Premises!$A$33:$F$33,1,$CH56)/100))</f>
        <v>0</v>
      </c>
      <c r="BF56" s="614">
        <f t="shared" si="156"/>
        <v>0</v>
      </c>
      <c r="BG56" s="622" cm="1">
        <f t="array" ref="BG56">IF($BB56&lt;=0,0,IF(BG$2=-1,0,INDEX(Premises!$A$31:$F$31,1,$CH56)/100))</f>
        <v>0.1</v>
      </c>
      <c r="BH56" s="614">
        <f t="shared" si="157"/>
        <v>9.477078789421986E-3</v>
      </c>
      <c r="BI56" s="618">
        <f t="shared" si="158"/>
        <v>0.10493631901426972</v>
      </c>
      <c r="BJ56" s="622" cm="1">
        <f t="array" ref="BJ56">IF($BB56&lt;=0,0,IF(BJ$2=-1,0,INDEX(Premises!$A$35:$F$35,1,$CH56)/100))</f>
        <v>0</v>
      </c>
      <c r="BK56" s="614">
        <f t="shared" si="159"/>
        <v>0</v>
      </c>
      <c r="BL56" s="622" cm="1">
        <f t="array" ref="BL56">IF($BB56&lt;=0,0,IF(BL$2=-1,0,INDEX(Premises!$A$36:$F$36,1,$CH56)/100))</f>
        <v>0</v>
      </c>
      <c r="BM56" s="614">
        <f t="shared" si="160"/>
        <v>0</v>
      </c>
      <c r="BN56" s="622" cm="1">
        <f t="array" ref="BN56">IF($BB56&lt;=0,0,IF(BN$2=-1,0,INDEX(Premises!$A$34:$F$34,1,$CH56)/100))</f>
        <v>0.06</v>
      </c>
      <c r="BO56" s="614">
        <f t="shared" si="161"/>
        <v>5.6862472736531906E-3</v>
      </c>
      <c r="BP56" s="622" cm="1">
        <f t="array" ref="BP56">IF($BI56=0,0,INDEX(Premises!$A$37:$F$37,1,$CH56)/100)</f>
        <v>0</v>
      </c>
      <c r="BQ56" s="392"/>
      <c r="BR56" s="614">
        <f t="shared" si="162"/>
        <v>0</v>
      </c>
      <c r="BS56" s="624">
        <f t="shared" si="163"/>
        <v>0.11062256628792291</v>
      </c>
      <c r="BT56" s="624">
        <f t="shared" si="164"/>
        <v>0.11062256628792291</v>
      </c>
      <c r="BU56" s="625">
        <f t="shared" si="165"/>
        <v>1</v>
      </c>
      <c r="BV56" s="1127"/>
      <c r="BW56" s="401"/>
      <c r="BX56" s="401"/>
      <c r="BY56" s="402"/>
      <c r="BZ56" s="946"/>
      <c r="CA56" s="263" cm="1">
        <f t="array" ref="CA56">IF($BZ56&gt;0,VALUE(LEFT($BZ56,IF(ISERROR(FIND("-",$BZ56)),LEN($BZ56),FIND("-",$BZ56)-1))),INDEX($CA$1:$CA56,MAX(1,$CD56)))</f>
        <v>1</v>
      </c>
      <c r="CB56" s="263" cm="1">
        <f t="array" ref="CB56">IF($BT56=0,0,IF(LEN($BZ56)-LEN(SUBSTITUTE($BZ56,"-",""))&gt;1,
VALUE(MID($BZ56,FIND("-",$BZ56)+1,FIND("-",$BZ56,FIND("-",$BZ56)+1)-FIND("-",$BZ56)-1)),IF($BZ56&gt;0,0,INDEX($CB$1:$CB56,MAX(1,$CD56)))))</f>
        <v>0</v>
      </c>
      <c r="CC56" s="263" cm="1">
        <f t="array" ref="CC56">IF($BT56=0,0,IF(NOT(ISERROR(FIND("-",BZ56))),
VALUE(RIGHT($BZ56,LEN($BZ56)-IF(LEN($BZ56)-LEN(SUBSTITUTE($BZ56,"-",""))=1,FIND("-",$BZ56),FIND("-",$BZ56,FIND("-",$BZ56)+1)))),
IF($BZ56&gt;0,0,INDEX($CC$1:$CC56,MAX(1,$CD56)))))</f>
        <v>0</v>
      </c>
      <c r="CD56" s="376">
        <f>MATCH(0,$CE$1:$CE56,-1)</f>
        <v>52</v>
      </c>
      <c r="CE56" s="263"/>
      <c r="CF56" s="377"/>
      <c r="CG56" s="376" cm="1">
        <f t="array" ref="CG56">INDEX($CG$1:$CG56,$CD56)</f>
        <v>8</v>
      </c>
      <c r="CH56" s="263">
        <f>MATCH($CA56,Premises!$A$10:$F$10,0)</f>
        <v>4</v>
      </c>
      <c r="CI56" s="263">
        <f>IF(ISBLANK($E56),0,IFERROR(MATCH($E56,MHR[Bezeichnung],0),0))</f>
        <v>1</v>
      </c>
      <c r="CJ56" s="377">
        <f>IF(ISBLANK($AQ56),0,IFERROR(MATCH($AQ56,MAT[Bezeichnung],0),0))</f>
        <v>0</v>
      </c>
      <c r="CK56" s="263" cm="1">
        <f t="array" ref="CK56">INDEX($D$1:$D56,$CD56)</f>
        <v>1</v>
      </c>
      <c r="CL56" s="263"/>
      <c r="CM56" s="378"/>
      <c r="CN56" s="379" cm="1">
        <f t="array" ref="CN56">IF($CB56=0,0,IF($CB56=INDEX($CB$1:$CB56,$CD56),INDEX($CN$1:$CN56,$CD56),$CP56))</f>
        <v>0</v>
      </c>
      <c r="CO56" s="378"/>
      <c r="CP56" s="379" cm="1">
        <f t="array" ref="CP56">IF($CC56=0,0,INDEX($CP$1:$CP56,$CD56))</f>
        <v>0</v>
      </c>
      <c r="CQ56" s="380"/>
      <c r="CR56" s="381"/>
      <c r="CS56" s="381"/>
      <c r="CT56" s="1132"/>
      <c r="CU56" s="1129"/>
      <c r="CV56" s="630">
        <f t="shared" si="166"/>
        <v>4.6463809451678245E-2</v>
      </c>
      <c r="CW56" s="631">
        <f t="shared" si="167"/>
        <v>1.5640783243351331E-2</v>
      </c>
      <c r="CX56" s="631">
        <f t="shared" si="168"/>
        <v>2.2381423611111111E-2</v>
      </c>
      <c r="CY56" s="631">
        <f t="shared" si="169"/>
        <v>0</v>
      </c>
      <c r="CZ56" s="631">
        <f t="shared" si="170"/>
        <v>0</v>
      </c>
      <c r="DA56" s="631">
        <f t="shared" si="171"/>
        <v>6.8845233062789365E-4</v>
      </c>
      <c r="DB56" s="631">
        <f t="shared" si="172"/>
        <v>1.0284771588079158E-2</v>
      </c>
      <c r="DC56" s="632">
        <f t="shared" si="173"/>
        <v>9.5459240224847738E-2</v>
      </c>
      <c r="DD56" s="631">
        <f t="shared" si="174"/>
        <v>0</v>
      </c>
      <c r="DE56" s="631">
        <f t="shared" si="175"/>
        <v>0</v>
      </c>
      <c r="DF56" s="631">
        <f t="shared" si="176"/>
        <v>0</v>
      </c>
      <c r="DG56" s="632">
        <f t="shared" si="177"/>
        <v>0</v>
      </c>
      <c r="DH56" s="632">
        <f t="shared" si="178"/>
        <v>9.5459240224847738E-2</v>
      </c>
      <c r="DI56" s="631">
        <f t="shared" si="179"/>
        <v>0</v>
      </c>
      <c r="DJ56" s="631">
        <f t="shared" si="180"/>
        <v>0</v>
      </c>
      <c r="DK56" s="631">
        <f t="shared" si="181"/>
        <v>9.477078789421986E-3</v>
      </c>
      <c r="DL56" s="631">
        <f t="shared" si="182"/>
        <v>0</v>
      </c>
      <c r="DM56" s="631">
        <f t="shared" si="183"/>
        <v>0</v>
      </c>
      <c r="DN56" s="631">
        <f t="shared" si="184"/>
        <v>5.6862472736531906E-3</v>
      </c>
      <c r="DO56" s="631">
        <f t="shared" si="185"/>
        <v>0</v>
      </c>
      <c r="DP56" s="634">
        <f t="shared" si="186"/>
        <v>0.11062256628792291</v>
      </c>
      <c r="DQ56" s="929">
        <f>IF($CB56=0,0,$DP56*_xlfn.XLOOKUP($CB56,Premises!$A$10:$F$10,Premises!$A$30:$F$30)/100)</f>
        <v>0</v>
      </c>
      <c r="DR56" s="633">
        <f>IFERROR(SUM($DP56:$DQ56)*IF(INDEX(Premises!$A$42:$F$42,1,MATCH($CB56,Premises!$A$10:$F$10,0))&gt;0,INDEX(Premises!$A$42:$F$42,1,MATCH($CB56,Premises!$A$10:$F$10,0))%,$CN56),0)</f>
        <v>0</v>
      </c>
      <c r="DS56" s="633" cm="1">
        <f t="array" ref="DS56">IF($CB56=0,0,SUM($DP56:$DR56)*_xlfn.XLOOKUP($CB56,Premises!$A$10:$F$10,IF(INDEX(Settings[],MATCH(3001,Settings[ID],0),2)="B",Premises!$A$33:$F$33,Premises!$A$31:$F$31))/100)</f>
        <v>0</v>
      </c>
      <c r="DT56" s="633" cm="1">
        <f t="array" ref="DT56">IF($CB56=0,0,$DP56*_xlfn.XLOOKUP($CB56,Premises!$A$10:$F$10,IF(INDEX(Settings[],MATCH(3002,Settings[ID],0),2)="B",Premises!$A$36:$F$36,Premises!$A$34:$F$34))/100)</f>
        <v>0</v>
      </c>
      <c r="DU56" s="633">
        <f>IF($CB56=0,0,SUM($DP56:$DT56)*_xlfn.XLOOKUP($CB56,Premises!$A$10:$F$10,Premises!$A$37:$F$37)/100)</f>
        <v>0</v>
      </c>
      <c r="DV56" s="932">
        <f t="shared" si="187"/>
        <v>0.11062256628792291</v>
      </c>
      <c r="DW56" s="929">
        <f>IF($CC56=0,0,$DV56*_xlfn.XLOOKUP($CC56,Premises!$A$10:$F$10,Premises!$A$30:$F$30)/100)</f>
        <v>0</v>
      </c>
      <c r="DX56" s="633">
        <f>IFERROR(SUM($DV56:$DW56)*IF(INDEX(Premises!$A$42:$F$42,1,MATCH($CC56,Premises!$A$10:$F$10,0))&gt;0,INDEX(Premises!$A$42:$F$42,1,MATCH($CC56,Premises!$A$10:$F$10,0))%,$CP56),0)</f>
        <v>0</v>
      </c>
      <c r="DY56" s="633" cm="1">
        <f t="array" ref="DY56">IF($CC56=0,0,SUM($DV56:$DX56)*_xlfn.XLOOKUP($CC56,Premises!$A$10:$F$10,IF(INDEX(Settings[],MATCH(3001,Settings[ID],0),2)="B",Premises!$A$33:$F$33,Premises!$A$31:$F$31))/100)</f>
        <v>0</v>
      </c>
      <c r="DZ56" s="633" cm="1">
        <f t="array" ref="DZ56">IF($CC56=0,0,$DV56*_xlfn.XLOOKUP($CC56,Premises!$A$10:$F$10,IF(INDEX(Settings[],MATCH(3002,Settings[ID],0),2)="B",Premises!$A$36:$F$36,Premises!$A$34:$F$34))/100)</f>
        <v>0</v>
      </c>
      <c r="EA56" s="633">
        <f>IF($CC56=0,0,SUM($DV56:$DZ56)*_xlfn.XLOOKUP($CC56,Premises!$A$10:$F$10,Premises!$A$37:$F$37)/100)</f>
        <v>0</v>
      </c>
      <c r="EB56" s="634">
        <f t="shared" si="188"/>
        <v>0.11062256628792291</v>
      </c>
      <c r="EC56" s="783"/>
      <c r="ED56" s="1082"/>
      <c r="EE56" s="633"/>
      <c r="EF56" s="1088"/>
      <c r="EG56" s="1086"/>
      <c r="EH56" s="1086"/>
      <c r="EI56" s="1086"/>
      <c r="EJ56" s="1086"/>
      <c r="EK56" s="1086"/>
      <c r="EL56" s="1086"/>
      <c r="EM56" s="1088"/>
      <c r="EN56" s="1086"/>
      <c r="EO56" s="1086"/>
      <c r="EP56" s="1086"/>
      <c r="EQ56" s="1086"/>
      <c r="ER56" s="1088"/>
      <c r="ES56" s="1086"/>
      <c r="ET56" s="1086"/>
      <c r="EU56" s="1086"/>
      <c r="EV56" s="1086"/>
      <c r="EW56" s="1086"/>
      <c r="EX56" s="1089"/>
      <c r="EY56" s="2"/>
      <c r="EZ56" s="2"/>
      <c r="FA56" s="2"/>
      <c r="FB56" s="2"/>
      <c r="FC56" s="2"/>
      <c r="FD56" s="2"/>
      <c r="FE56" s="2"/>
      <c r="FF56" s="2"/>
      <c r="FG56" s="2"/>
      <c r="FH56" s="2"/>
      <c r="FI56" s="2"/>
      <c r="FJ56" s="403"/>
      <c r="FK56" s="404"/>
      <c r="FL56" s="405"/>
      <c r="FM56" s="1133"/>
    </row>
    <row r="57" spans="1:169" s="13" customFormat="1" ht="12.75" customHeight="1">
      <c r="A57" s="215"/>
      <c r="B57" s="385" t="s">
        <v>4133</v>
      </c>
      <c r="C57" s="386"/>
      <c r="D57" s="629"/>
      <c r="E57" s="387" t="s">
        <v>4143</v>
      </c>
      <c r="F57" s="388">
        <v>120</v>
      </c>
      <c r="G57" s="388" t="s">
        <v>93</v>
      </c>
      <c r="H57" s="388">
        <v>30</v>
      </c>
      <c r="I57" s="620" cm="1">
        <f t="array" ref="I57">IF($CI57=0,0,IFERROR(INDEX(MHR[],$CI57,MATCH($CA57,MHR!$B$4:$AY$4,0)),0))</f>
        <v>5.0533292901785716</v>
      </c>
      <c r="J57" s="617">
        <f t="shared" si="142"/>
        <v>5.6148103224206349E-3</v>
      </c>
      <c r="K57" s="389" t="s">
        <v>49</v>
      </c>
      <c r="L57" s="390">
        <v>15</v>
      </c>
      <c r="M57" s="849">
        <v>1</v>
      </c>
      <c r="N57" s="390"/>
      <c r="O57" s="388"/>
      <c r="P57" s="628">
        <v>3334</v>
      </c>
      <c r="Q57" s="620">
        <v>16.537500000000001</v>
      </c>
      <c r="R57" s="617">
        <v>1.6598326080319652E-3</v>
      </c>
      <c r="S57" s="391">
        <v>1</v>
      </c>
      <c r="T57" s="392" t="s">
        <v>275</v>
      </c>
      <c r="U57" s="620" cm="1">
        <f t="array" ref="U57">IF(COUNTBLANK($S57:$T57),0,
IF(AND(INDEX(MHR[Schichtmodell],$CI57)&lt;&gt;0,INDEX(MHR[Schichtmodell],$CI57)&lt;&gt;INDEX(Premises!$A$20:$F$20,1,$CH57)),ExchangeRate*
IF(OR($T57="M",$T57="U"),IF(INDEX(MHR[Schichtmodell],$CI57)=1,INDEX(LOC[M1S],INDEX(Premises!$A$18:$F$18,1,$CH57+1)),IF(INDEX(MHR[Schichtmodell],$CI57)=2,INDEX(LOC[M2S],INDEX(Premises!$A$18:$F$18,1,$CH57+1),IF(INDEX(MHR[Schichtmodell],$CI57)=3,INDEX(LOC[M3S],INDEX(Premises!$A$18:$F$18,1,$CH57+1)),0)))),
IF(INDEX(MHR[Schichtmodell],$CI57)=1,INDEX(LOC[F1S],INDEX(Premises!$A$18:$F$18,1,$CH57+1)),IF(INDEX(MHR[Schichtmodell],$CI57)=2,INDEX(LOC[F2S],INDEX(Premises!$A$18:$F$18,1,$CH57+1)),IF(INDEX(MHR[Schichtmodell],$CI57)=3,INDEX(LOC[F3S],INDEX(Premises!$A$18:$F$18,1,$CH57+1)),0)))),
IF(OR($T57="M",$T57="U"),INDEX(Premises!$A$21:$F$21,1,$CH57),
IF(OR($T57="F",$T57="S"),INDEX(Premises!$A$22:$F$22,1,$CH57),0)))*100/INDEX(Premises!$A$16:$F$16,1,$CH57))</f>
        <v>11.762499999999999</v>
      </c>
      <c r="V57" s="614">
        <f t="shared" si="143"/>
        <v>1.3069444444444444E-2</v>
      </c>
      <c r="W57" s="393"/>
      <c r="X57" s="386"/>
      <c r="Y57" s="394"/>
      <c r="Z57" s="395"/>
      <c r="AA57" s="611">
        <f t="shared" si="144"/>
        <v>0</v>
      </c>
      <c r="AB57" s="393"/>
      <c r="AC57" s="386"/>
      <c r="AD57" s="394"/>
      <c r="AE57" s="396"/>
      <c r="AF57" s="611">
        <f t="shared" si="145"/>
        <v>0</v>
      </c>
      <c r="AG57" s="612" cm="1">
        <f t="array" ref="AG57">IF(($J57+$V57+$AF57)=0,0,INDEX(Premises!$A$30:$F$30,1,$CH57)/100)</f>
        <v>0.01</v>
      </c>
      <c r="AH57" s="397"/>
      <c r="AI57" s="398"/>
      <c r="AJ57" s="399"/>
      <c r="AK57" s="613">
        <f t="shared" si="146"/>
        <v>0</v>
      </c>
      <c r="AL57" s="614">
        <f t="shared" si="147"/>
        <v>1.868425476686508E-4</v>
      </c>
      <c r="AM57" s="615" cm="1">
        <f t="array" ref="AM57">IF($CI57=0,0,IFERROR(INDEX(MHR[],$CI57,MATCH($CA57,MHR!$B$4:$AY$4,0)+11),0))</f>
        <v>2.7174990484977917</v>
      </c>
      <c r="AN57" s="616" cm="1">
        <f t="array" ref="AN57">IF(($J57+$V57)=0,0,IFERROR(IF(INDEX(Premises!$A$41:$F$41,1,$CH57)&lt;&gt;0,INDEX(Premises!$A$41:$F$41,1,$CH57)/100,(IFERROR(($J57/$I57)*$AM57,0)/($V57+$J57+$R57+$AL57))),0))</f>
        <v>0.14706802851151307</v>
      </c>
      <c r="AO57" s="617">
        <f t="shared" si="148"/>
        <v>3.0194433872197685E-3</v>
      </c>
      <c r="AP57" s="618">
        <f t="shared" si="149"/>
        <v>2.3550373309785461E-2</v>
      </c>
      <c r="AQ57" s="393"/>
      <c r="AR57" s="392"/>
      <c r="AS57" s="619" cm="1">
        <f t="array" ref="AS57">IF($CJ57=0,0,IFERROR(INDEX(MAT[Einheit],$CJ57,1),0))</f>
        <v>0</v>
      </c>
      <c r="AT57" s="620" cm="1">
        <f t="array" ref="AT57">IF($CJ57=0,0,IFERROR(INDEX(MAT[Preis],$CJ57,1),0))</f>
        <v>0</v>
      </c>
      <c r="AU57" s="621">
        <f t="shared" si="150"/>
        <v>0</v>
      </c>
      <c r="AV57" s="622" cm="1">
        <f t="array" ref="AV57">IF($AU57&lt;=0,0,INDEX(Premises!$A$30:$F$30,1,$CH57)/100)</f>
        <v>0</v>
      </c>
      <c r="AW57" s="392"/>
      <c r="AX57" s="614">
        <f t="shared" si="151"/>
        <v>0</v>
      </c>
      <c r="AY57" s="623" cm="1">
        <f t="array" ref="AY57">IF($AT57&lt;=0,0,IFERROR(IF(INDEX(Premises!$A$42:$F$42,1,$CH57)&lt;&gt;0,INDEX(Premises!$A$42:$F$42,1,$CH57)/100,(INDEX(MAT[],$CJ57,MATCH($CA57,MAT!$B$4:$AE$4,0))/($AR57*$CK57*INDEX(Premises!$A$13:$F$13,1,$CH57))+INDEX(MAT[],$CJ57,MATCH($CA57,MAT!$B$4:$AE$4,0)+7))/$AT57),0))</f>
        <v>0</v>
      </c>
      <c r="AZ57" s="614">
        <f t="shared" si="152"/>
        <v>0</v>
      </c>
      <c r="BA57" s="618">
        <f t="shared" si="153"/>
        <v>0</v>
      </c>
      <c r="BB57" s="618">
        <f t="shared" si="154"/>
        <v>2.3550373309785461E-2</v>
      </c>
      <c r="BC57" s="622" cm="1">
        <f t="array" ref="BC57">IF($BB57&lt;=0,0,IF(BC$2=-1,0,INDEX(Premises!$A$32:$F$32,1,$CH57)/100))</f>
        <v>0</v>
      </c>
      <c r="BD57" s="614">
        <f t="shared" si="155"/>
        <v>0</v>
      </c>
      <c r="BE57" s="622" cm="1">
        <f t="array" ref="BE57">IF($BB57&lt;=0,0,IF(BE$2=-1,0,INDEX(Premises!$A$33:$F$33,1,$CH57)/100))</f>
        <v>0</v>
      </c>
      <c r="BF57" s="614">
        <f t="shared" si="156"/>
        <v>0</v>
      </c>
      <c r="BG57" s="622" cm="1">
        <f t="array" ref="BG57">IF($BB57&lt;=0,0,IF(BG$2=-1,0,INDEX(Premises!$A$31:$F$31,1,$CH57)/100))</f>
        <v>0.1</v>
      </c>
      <c r="BH57" s="614">
        <f t="shared" si="157"/>
        <v>2.3363530762116813E-3</v>
      </c>
      <c r="BI57" s="618">
        <f t="shared" si="158"/>
        <v>2.5886726385997143E-2</v>
      </c>
      <c r="BJ57" s="622" cm="1">
        <f t="array" ref="BJ57">IF($BB57&lt;=0,0,IF(BJ$2=-1,0,INDEX(Premises!$A$35:$F$35,1,$CH57)/100))</f>
        <v>0</v>
      </c>
      <c r="BK57" s="614">
        <f t="shared" si="159"/>
        <v>0</v>
      </c>
      <c r="BL57" s="622" cm="1">
        <f t="array" ref="BL57">IF($BB57&lt;=0,0,IF(BL$2=-1,0,INDEX(Premises!$A$36:$F$36,1,$CH57)/100))</f>
        <v>0</v>
      </c>
      <c r="BM57" s="614">
        <f t="shared" si="160"/>
        <v>0</v>
      </c>
      <c r="BN57" s="622" cm="1">
        <f t="array" ref="BN57">IF($BB57&lt;=0,0,IF(BN$2=-1,0,INDEX(Premises!$A$34:$F$34,1,$CH57)/100))</f>
        <v>0.06</v>
      </c>
      <c r="BO57" s="614">
        <f t="shared" si="161"/>
        <v>1.4018118457270086E-3</v>
      </c>
      <c r="BP57" s="622" cm="1">
        <f t="array" ref="BP57">IF($BI57=0,0,INDEX(Premises!$A$37:$F$37,1,$CH57)/100)</f>
        <v>0</v>
      </c>
      <c r="BQ57" s="392"/>
      <c r="BR57" s="614">
        <f t="shared" si="162"/>
        <v>0</v>
      </c>
      <c r="BS57" s="624">
        <f t="shared" si="163"/>
        <v>2.7288538231724151E-2</v>
      </c>
      <c r="BT57" s="624">
        <f t="shared" si="164"/>
        <v>2.7288538231724151E-2</v>
      </c>
      <c r="BU57" s="625">
        <f t="shared" si="165"/>
        <v>1</v>
      </c>
      <c r="BV57" s="1127"/>
      <c r="BW57" s="401"/>
      <c r="BX57" s="401"/>
      <c r="BY57" s="402"/>
      <c r="BZ57" s="946"/>
      <c r="CA57" s="263" cm="1">
        <f t="array" ref="CA57">IF($BZ57&gt;0,VALUE(LEFT($BZ57,IF(ISERROR(FIND("-",$BZ57)),LEN($BZ57),FIND("-",$BZ57)-1))),INDEX($CA$1:$CA57,MAX(1,$CD57)))</f>
        <v>1</v>
      </c>
      <c r="CB57" s="263" cm="1">
        <f t="array" ref="CB57">IF($BT57=0,0,IF(LEN($BZ57)-LEN(SUBSTITUTE($BZ57,"-",""))&gt;1,
VALUE(MID($BZ57,FIND("-",$BZ57)+1,FIND("-",$BZ57,FIND("-",$BZ57)+1)-FIND("-",$BZ57)-1)),IF($BZ57&gt;0,0,INDEX($CB$1:$CB57,MAX(1,$CD57)))))</f>
        <v>0</v>
      </c>
      <c r="CC57" s="263" cm="1">
        <f t="array" ref="CC57">IF($BT57=0,0,IF(NOT(ISERROR(FIND("-",BZ57))),
VALUE(RIGHT($BZ57,LEN($BZ57)-IF(LEN($BZ57)-LEN(SUBSTITUTE($BZ57,"-",""))=1,FIND("-",$BZ57),FIND("-",$BZ57,FIND("-",$BZ57)+1)))),
IF($BZ57&gt;0,0,INDEX($CC$1:$CC57,MAX(1,$CD57)))))</f>
        <v>0</v>
      </c>
      <c r="CD57" s="376">
        <f>MATCH(0,$CE$1:$CE57,-1)</f>
        <v>52</v>
      </c>
      <c r="CE57" s="263"/>
      <c r="CF57" s="377"/>
      <c r="CG57" s="376" cm="1">
        <f t="array" ref="CG57">INDEX($CG$1:$CG57,$CD57)</f>
        <v>8</v>
      </c>
      <c r="CH57" s="263">
        <f>MATCH($CA57,Premises!$A$10:$F$10,0)</f>
        <v>4</v>
      </c>
      <c r="CI57" s="263">
        <f>IF(ISBLANK($E57),0,IFERROR(MATCH($E57,MHR[Bezeichnung],0),0))</f>
        <v>4</v>
      </c>
      <c r="CJ57" s="377">
        <f>IF(ISBLANK($AQ57),0,IFERROR(MATCH($AQ57,MAT[Bezeichnung],0),0))</f>
        <v>0</v>
      </c>
      <c r="CK57" s="263" cm="1">
        <f t="array" ref="CK57">INDEX($D$1:$D57,$CD57)</f>
        <v>1</v>
      </c>
      <c r="CL57" s="263"/>
      <c r="CM57" s="378"/>
      <c r="CN57" s="379" cm="1">
        <f t="array" ref="CN57">IF($CB57=0,0,IF($CB57=INDEX($CB$1:$CB57,$CD57),INDEX($CN$1:$CN57,$CD57),$CP57))</f>
        <v>0</v>
      </c>
      <c r="CO57" s="378"/>
      <c r="CP57" s="379" cm="1">
        <f t="array" ref="CP57">IF($CC57=0,0,INDEX($CP$1:$CP57,$CD57))</f>
        <v>0</v>
      </c>
      <c r="CQ57" s="380"/>
      <c r="CR57" s="381"/>
      <c r="CS57" s="381"/>
      <c r="CT57" s="1132"/>
      <c r="CU57" s="1129"/>
      <c r="CV57" s="630">
        <f t="shared" si="166"/>
        <v>5.6148103224206349E-3</v>
      </c>
      <c r="CW57" s="631">
        <f t="shared" si="167"/>
        <v>1.6598326080319652E-3</v>
      </c>
      <c r="CX57" s="631">
        <f t="shared" si="168"/>
        <v>1.3069444444444444E-2</v>
      </c>
      <c r="CY57" s="631">
        <f t="shared" si="169"/>
        <v>0</v>
      </c>
      <c r="CZ57" s="631">
        <f t="shared" si="170"/>
        <v>0</v>
      </c>
      <c r="DA57" s="631">
        <f t="shared" si="171"/>
        <v>1.868425476686508E-4</v>
      </c>
      <c r="DB57" s="631">
        <f t="shared" si="172"/>
        <v>3.0194433872197685E-3</v>
      </c>
      <c r="DC57" s="632">
        <f t="shared" si="173"/>
        <v>2.3550373309785461E-2</v>
      </c>
      <c r="DD57" s="631">
        <f t="shared" si="174"/>
        <v>0</v>
      </c>
      <c r="DE57" s="631">
        <f t="shared" si="175"/>
        <v>0</v>
      </c>
      <c r="DF57" s="631">
        <f t="shared" si="176"/>
        <v>0</v>
      </c>
      <c r="DG57" s="632">
        <f t="shared" si="177"/>
        <v>0</v>
      </c>
      <c r="DH57" s="632">
        <f t="shared" si="178"/>
        <v>2.3550373309785461E-2</v>
      </c>
      <c r="DI57" s="631">
        <f t="shared" si="179"/>
        <v>0</v>
      </c>
      <c r="DJ57" s="631">
        <f t="shared" si="180"/>
        <v>0</v>
      </c>
      <c r="DK57" s="631">
        <f t="shared" si="181"/>
        <v>2.3363530762116813E-3</v>
      </c>
      <c r="DL57" s="631">
        <f t="shared" si="182"/>
        <v>0</v>
      </c>
      <c r="DM57" s="631">
        <f t="shared" si="183"/>
        <v>0</v>
      </c>
      <c r="DN57" s="631">
        <f t="shared" si="184"/>
        <v>1.4018118457270086E-3</v>
      </c>
      <c r="DO57" s="631">
        <f t="shared" si="185"/>
        <v>0</v>
      </c>
      <c r="DP57" s="634">
        <f t="shared" si="186"/>
        <v>2.7288538231724151E-2</v>
      </c>
      <c r="DQ57" s="929">
        <f>IF($CB57=0,0,$DP57*_xlfn.XLOOKUP($CB57,Premises!$A$10:$F$10,Premises!$A$30:$F$30)/100)</f>
        <v>0</v>
      </c>
      <c r="DR57" s="633">
        <f>IFERROR(SUM($DP57:$DQ57)*IF(INDEX(Premises!$A$42:$F$42,1,MATCH($CB57,Premises!$A$10:$F$10,0))&gt;0,INDEX(Premises!$A$42:$F$42,1,MATCH($CB57,Premises!$A$10:$F$10,0))%,$CN57),0)</f>
        <v>0</v>
      </c>
      <c r="DS57" s="633" cm="1">
        <f t="array" ref="DS57">IF($CB57=0,0,SUM($DP57:$DR57)*_xlfn.XLOOKUP($CB57,Premises!$A$10:$F$10,IF(INDEX(Settings[],MATCH(3001,Settings[ID],0),2)="B",Premises!$A$33:$F$33,Premises!$A$31:$F$31))/100)</f>
        <v>0</v>
      </c>
      <c r="DT57" s="633" cm="1">
        <f t="array" ref="DT57">IF($CB57=0,0,$DP57*_xlfn.XLOOKUP($CB57,Premises!$A$10:$F$10,IF(INDEX(Settings[],MATCH(3002,Settings[ID],0),2)="B",Premises!$A$36:$F$36,Premises!$A$34:$F$34))/100)</f>
        <v>0</v>
      </c>
      <c r="DU57" s="633">
        <f>IF($CB57=0,0,SUM($DP57:$DT57)*_xlfn.XLOOKUP($CB57,Premises!$A$10:$F$10,Premises!$A$37:$F$37)/100)</f>
        <v>0</v>
      </c>
      <c r="DV57" s="932">
        <f t="shared" si="187"/>
        <v>2.7288538231724151E-2</v>
      </c>
      <c r="DW57" s="929">
        <f>IF($CC57=0,0,$DV57*_xlfn.XLOOKUP($CC57,Premises!$A$10:$F$10,Premises!$A$30:$F$30)/100)</f>
        <v>0</v>
      </c>
      <c r="DX57" s="633">
        <f>IFERROR(SUM($DV57:$DW57)*IF(INDEX(Premises!$A$42:$F$42,1,MATCH($CC57,Premises!$A$10:$F$10,0))&gt;0,INDEX(Premises!$A$42:$F$42,1,MATCH($CC57,Premises!$A$10:$F$10,0))%,$CP57),0)</f>
        <v>0</v>
      </c>
      <c r="DY57" s="633" cm="1">
        <f t="array" ref="DY57">IF($CC57=0,0,SUM($DV57:$DX57)*_xlfn.XLOOKUP($CC57,Premises!$A$10:$F$10,IF(INDEX(Settings[],MATCH(3001,Settings[ID],0),2)="B",Premises!$A$33:$F$33,Premises!$A$31:$F$31))/100)</f>
        <v>0</v>
      </c>
      <c r="DZ57" s="633" cm="1">
        <f t="array" ref="DZ57">IF($CC57=0,0,$DV57*_xlfn.XLOOKUP($CC57,Premises!$A$10:$F$10,IF(INDEX(Settings[],MATCH(3002,Settings[ID],0),2)="B",Premises!$A$36:$F$36,Premises!$A$34:$F$34))/100)</f>
        <v>0</v>
      </c>
      <c r="EA57" s="633">
        <f>IF($CC57=0,0,SUM($DV57:$DZ57)*_xlfn.XLOOKUP($CC57,Premises!$A$10:$F$10,Premises!$A$37:$F$37)/100)</f>
        <v>0</v>
      </c>
      <c r="EB57" s="634">
        <f t="shared" si="188"/>
        <v>2.7288538231724151E-2</v>
      </c>
      <c r="EC57" s="783"/>
      <c r="ED57" s="1082"/>
      <c r="EE57" s="633"/>
      <c r="EF57" s="1088"/>
      <c r="EG57" s="1086"/>
      <c r="EH57" s="1086"/>
      <c r="EI57" s="1086"/>
      <c r="EJ57" s="1086"/>
      <c r="EK57" s="1086"/>
      <c r="EL57" s="1086"/>
      <c r="EM57" s="1088"/>
      <c r="EN57" s="1086"/>
      <c r="EO57" s="1086"/>
      <c r="EP57" s="1086"/>
      <c r="EQ57" s="1086"/>
      <c r="ER57" s="1088"/>
      <c r="ES57" s="1086"/>
      <c r="ET57" s="1086"/>
      <c r="EU57" s="1086"/>
      <c r="EV57" s="1086"/>
      <c r="EW57" s="1086"/>
      <c r="EX57" s="1089"/>
      <c r="EY57" s="2"/>
      <c r="EZ57" s="2"/>
      <c r="FA57" s="2"/>
      <c r="FB57" s="2"/>
      <c r="FC57" s="2"/>
      <c r="FD57" s="2"/>
      <c r="FE57" s="2"/>
      <c r="FF57" s="2"/>
      <c r="FG57" s="2"/>
      <c r="FH57" s="2"/>
      <c r="FI57" s="2"/>
      <c r="FJ57" s="403"/>
      <c r="FK57" s="404"/>
      <c r="FL57" s="405"/>
      <c r="FM57" s="1133"/>
    </row>
    <row r="58" spans="1:169" s="13" customFormat="1" ht="12.75" customHeight="1">
      <c r="A58" s="215"/>
      <c r="B58" s="385" t="s">
        <v>4134</v>
      </c>
      <c r="C58" s="386"/>
      <c r="D58" s="629"/>
      <c r="E58" s="387" t="s">
        <v>4145</v>
      </c>
      <c r="F58" s="388">
        <f>3+SUM('E-BOM PCB UI Upper'!I30:I33)*0.1</f>
        <v>7.8000000000000007</v>
      </c>
      <c r="G58" s="388" t="s">
        <v>93</v>
      </c>
      <c r="H58" s="388">
        <v>1</v>
      </c>
      <c r="I58" s="620" cm="1">
        <f t="array" ref="I58">IF($CI58=0,0,IFERROR(INDEX(MHR[],$CI58,MATCH($CA58,MHR!$B$4:$AY$4,0)),0))</f>
        <v>4.6116480654761904</v>
      </c>
      <c r="J58" s="617">
        <f t="shared" si="142"/>
        <v>9.9919041418650816E-3</v>
      </c>
      <c r="K58" s="389" t="s">
        <v>49</v>
      </c>
      <c r="L58" s="390">
        <v>15</v>
      </c>
      <c r="M58" s="849">
        <v>1</v>
      </c>
      <c r="N58" s="390"/>
      <c r="O58" s="388"/>
      <c r="P58" s="628">
        <v>3334</v>
      </c>
      <c r="Q58" s="620">
        <v>16.537500000000001</v>
      </c>
      <c r="R58" s="617">
        <v>1.6329248659196734E-3</v>
      </c>
      <c r="S58" s="391">
        <v>1</v>
      </c>
      <c r="T58" s="392" t="s">
        <v>275</v>
      </c>
      <c r="U58" s="620" cm="1">
        <f t="array" ref="U58">IF(COUNTBLANK($S58:$T58),0,
IF(AND(INDEX(MHR[Schichtmodell],$CI58)&lt;&gt;0,INDEX(MHR[Schichtmodell],$CI58)&lt;&gt;INDEX(Premises!$A$20:$F$20,1,$CH58)),ExchangeRate*
IF(OR($T58="M",$T58="U"),IF(INDEX(MHR[Schichtmodell],$CI58)=1,INDEX(LOC[M1S],INDEX(Premises!$A$18:$F$18,1,$CH58+1)),IF(INDEX(MHR[Schichtmodell],$CI58)=2,INDEX(LOC[M2S],INDEX(Premises!$A$18:$F$18,1,$CH58+1),IF(INDEX(MHR[Schichtmodell],$CI58)=3,INDEX(LOC[M3S],INDEX(Premises!$A$18:$F$18,1,$CH58+1)),0)))),
IF(INDEX(MHR[Schichtmodell],$CI58)=1,INDEX(LOC[F1S],INDEX(Premises!$A$18:$F$18,1,$CH58+1)),IF(INDEX(MHR[Schichtmodell],$CI58)=2,INDEX(LOC[F2S],INDEX(Premises!$A$18:$F$18,1,$CH58+1)),IF(INDEX(MHR[Schichtmodell],$CI58)=3,INDEX(LOC[F3S],INDEX(Premises!$A$18:$F$18,1,$CH58+1)),0)))),
IF(OR($T58="M",$T58="U"),INDEX(Premises!$A$21:$F$21,1,$CH58),
IF(OR($T58="F",$T58="S"),INDEX(Premises!$A$22:$F$22,1,$CH58),0)))*100/INDEX(Premises!$A$16:$F$16,1,$CH58))</f>
        <v>11.762499999999999</v>
      </c>
      <c r="V58" s="614">
        <f t="shared" si="143"/>
        <v>2.548541666666667E-2</v>
      </c>
      <c r="W58" s="393"/>
      <c r="X58" s="386"/>
      <c r="Y58" s="394"/>
      <c r="Z58" s="395"/>
      <c r="AA58" s="611">
        <f t="shared" si="144"/>
        <v>0</v>
      </c>
      <c r="AB58" s="393"/>
      <c r="AC58" s="386"/>
      <c r="AD58" s="394"/>
      <c r="AE58" s="396"/>
      <c r="AF58" s="611">
        <f t="shared" si="145"/>
        <v>0</v>
      </c>
      <c r="AG58" s="612" cm="1">
        <f t="array" ref="AG58">IF(($J58+$V58+$AF58)=0,0,INDEX(Premises!$A$30:$F$30,1,$CH58)/100)</f>
        <v>0.01</v>
      </c>
      <c r="AH58" s="397"/>
      <c r="AI58" s="398"/>
      <c r="AJ58" s="399"/>
      <c r="AK58" s="613">
        <f t="shared" si="146"/>
        <v>0</v>
      </c>
      <c r="AL58" s="614">
        <f t="shared" si="147"/>
        <v>3.5477320808531749E-4</v>
      </c>
      <c r="AM58" s="615" cm="1">
        <f t="array" ref="AM58">IF($CI58=0,0,IFERROR(INDEX(MHR[],$CI58,MATCH($CA58,MHR!$B$4:$AY$4,0)+11),0))</f>
        <v>1.6754851596089027</v>
      </c>
      <c r="AN58" s="616" cm="1">
        <f t="array" ref="AN58">IF(($J58+$V58)=0,0,IFERROR(IF(INDEX(Premises!$A$41:$F$41,1,$CH58)&lt;&gt;0,INDEX(Premises!$A$41:$F$41,1,$CH58)/100,(IFERROR(($J58/$I58)*$AM58,0)/($V58+$J58+$R58+$AL58))),0))</f>
        <v>9.6896196881710722E-2</v>
      </c>
      <c r="AO58" s="617">
        <f t="shared" si="148"/>
        <v>3.6302178458192894E-3</v>
      </c>
      <c r="AP58" s="618">
        <f t="shared" si="149"/>
        <v>4.1095236728356022E-2</v>
      </c>
      <c r="AQ58" s="393"/>
      <c r="AR58" s="392"/>
      <c r="AS58" s="619" cm="1">
        <f t="array" ref="AS58">IF($CJ58=0,0,IFERROR(INDEX(MAT[Einheit],$CJ58,1),0))</f>
        <v>0</v>
      </c>
      <c r="AT58" s="620" cm="1">
        <f t="array" ref="AT58">IF($CJ58=0,0,IFERROR(INDEX(MAT[Preis],$CJ58,1),0))</f>
        <v>0</v>
      </c>
      <c r="AU58" s="621">
        <f t="shared" si="150"/>
        <v>0</v>
      </c>
      <c r="AV58" s="622" cm="1">
        <f t="array" ref="AV58">IF($AU58&lt;=0,0,INDEX(Premises!$A$30:$F$30,1,$CH58)/100)</f>
        <v>0</v>
      </c>
      <c r="AW58" s="392"/>
      <c r="AX58" s="614">
        <f t="shared" si="151"/>
        <v>0</v>
      </c>
      <c r="AY58" s="623" cm="1">
        <f t="array" ref="AY58">IF($AT58&lt;=0,0,IFERROR(IF(INDEX(Premises!$A$42:$F$42,1,$CH58)&lt;&gt;0,INDEX(Premises!$A$42:$F$42,1,$CH58)/100,(INDEX(MAT[],$CJ58,MATCH($CA58,MAT!$B$4:$AE$4,0))/($AR58*$CK58*INDEX(Premises!$A$13:$F$13,1,$CH58))+INDEX(MAT[],$CJ58,MATCH($CA58,MAT!$B$4:$AE$4,0)+7))/$AT58),0))</f>
        <v>0</v>
      </c>
      <c r="AZ58" s="614">
        <f t="shared" si="152"/>
        <v>0</v>
      </c>
      <c r="BA58" s="618">
        <f t="shared" si="153"/>
        <v>0</v>
      </c>
      <c r="BB58" s="618">
        <f t="shared" si="154"/>
        <v>4.1095236728356022E-2</v>
      </c>
      <c r="BC58" s="622" cm="1">
        <f t="array" ref="BC58">IF($BB58&lt;=0,0,IF(BC$2=-1,0,INDEX(Premises!$A$32:$F$32,1,$CH58)/100))</f>
        <v>0</v>
      </c>
      <c r="BD58" s="614">
        <f t="shared" si="155"/>
        <v>0</v>
      </c>
      <c r="BE58" s="622" cm="1">
        <f t="array" ref="BE58">IF($BB58&lt;=0,0,IF(BE$2=-1,0,INDEX(Premises!$A$33:$F$33,1,$CH58)/100))</f>
        <v>0</v>
      </c>
      <c r="BF58" s="614">
        <f t="shared" si="156"/>
        <v>0</v>
      </c>
      <c r="BG58" s="622" cm="1">
        <f t="array" ref="BG58">IF($BB58&lt;=0,0,IF(BG$2=-1,0,INDEX(Premises!$A$31:$F$31,1,$CH58)/100))</f>
        <v>0.1</v>
      </c>
      <c r="BH58" s="614">
        <f t="shared" si="157"/>
        <v>4.0740463520270711E-3</v>
      </c>
      <c r="BI58" s="618">
        <f t="shared" si="158"/>
        <v>4.5169283080383094E-2</v>
      </c>
      <c r="BJ58" s="622" cm="1">
        <f t="array" ref="BJ58">IF($BB58&lt;=0,0,IF(BJ$2=-1,0,INDEX(Premises!$A$35:$F$35,1,$CH58)/100))</f>
        <v>0</v>
      </c>
      <c r="BK58" s="614">
        <f t="shared" si="159"/>
        <v>0</v>
      </c>
      <c r="BL58" s="622" cm="1">
        <f t="array" ref="BL58">IF($BB58&lt;=0,0,IF(BL$2=-1,0,INDEX(Premises!$A$36:$F$36,1,$CH58)/100))</f>
        <v>0</v>
      </c>
      <c r="BM58" s="614">
        <f t="shared" si="160"/>
        <v>0</v>
      </c>
      <c r="BN58" s="622" cm="1">
        <f t="array" ref="BN58">IF($BB58&lt;=0,0,IF(BN$2=-1,0,INDEX(Premises!$A$34:$F$34,1,$CH58)/100))</f>
        <v>0.06</v>
      </c>
      <c r="BO58" s="614">
        <f t="shared" si="161"/>
        <v>2.4444278112162421E-3</v>
      </c>
      <c r="BP58" s="622" cm="1">
        <f t="array" ref="BP58">IF($BI58=0,0,INDEX(Premises!$A$37:$F$37,1,$CH58)/100)</f>
        <v>0</v>
      </c>
      <c r="BQ58" s="392"/>
      <c r="BR58" s="614">
        <f t="shared" si="162"/>
        <v>0</v>
      </c>
      <c r="BS58" s="624">
        <f t="shared" si="163"/>
        <v>4.7613710891599333E-2</v>
      </c>
      <c r="BT58" s="624">
        <f t="shared" si="164"/>
        <v>4.7613710891599333E-2</v>
      </c>
      <c r="BU58" s="625">
        <f t="shared" si="165"/>
        <v>1</v>
      </c>
      <c r="BV58" s="1127"/>
      <c r="BW58" s="401"/>
      <c r="BX58" s="401"/>
      <c r="BY58" s="402"/>
      <c r="BZ58" s="946"/>
      <c r="CA58" s="263" cm="1">
        <f t="array" ref="CA58">IF($BZ58&gt;0,VALUE(LEFT($BZ58,IF(ISERROR(FIND("-",$BZ58)),LEN($BZ58),FIND("-",$BZ58)-1))),INDEX($CA$1:$CA58,MAX(1,$CD58)))</f>
        <v>1</v>
      </c>
      <c r="CB58" s="263" cm="1">
        <f t="array" ref="CB58">IF($BT58=0,0,IF(LEN($BZ58)-LEN(SUBSTITUTE($BZ58,"-",""))&gt;1,
VALUE(MID($BZ58,FIND("-",$BZ58)+1,FIND("-",$BZ58,FIND("-",$BZ58)+1)-FIND("-",$BZ58)-1)),IF($BZ58&gt;0,0,INDEX($CB$1:$CB58,MAX(1,$CD58)))))</f>
        <v>0</v>
      </c>
      <c r="CC58" s="263" cm="1">
        <f t="array" ref="CC58">IF($BT58=0,0,IF(NOT(ISERROR(FIND("-",BZ58))),
VALUE(RIGHT($BZ58,LEN($BZ58)-IF(LEN($BZ58)-LEN(SUBSTITUTE($BZ58,"-",""))=1,FIND("-",$BZ58),FIND("-",$BZ58,FIND("-",$BZ58)+1)))),
IF($BZ58&gt;0,0,INDEX($CC$1:$CC58,MAX(1,$CD58)))))</f>
        <v>0</v>
      </c>
      <c r="CD58" s="376">
        <f>MATCH(0,$CE$1:$CE58,-1)</f>
        <v>52</v>
      </c>
      <c r="CE58" s="263"/>
      <c r="CF58" s="377"/>
      <c r="CG58" s="376" cm="1">
        <f t="array" ref="CG58">INDEX($CG$1:$CG58,$CD58)</f>
        <v>8</v>
      </c>
      <c r="CH58" s="263">
        <f>MATCH($CA58,Premises!$A$10:$F$10,0)</f>
        <v>4</v>
      </c>
      <c r="CI58" s="263">
        <f>IF(ISBLANK($E58),0,IFERROR(MATCH($E58,MHR[Bezeichnung],0),0))</f>
        <v>5</v>
      </c>
      <c r="CJ58" s="377">
        <f>IF(ISBLANK($AQ58),0,IFERROR(MATCH($AQ58,MAT[Bezeichnung],0),0))</f>
        <v>0</v>
      </c>
      <c r="CK58" s="263" cm="1">
        <f t="array" ref="CK58">INDEX($D$1:$D58,$CD58)</f>
        <v>1</v>
      </c>
      <c r="CL58" s="263"/>
      <c r="CM58" s="378"/>
      <c r="CN58" s="379" cm="1">
        <f t="array" ref="CN58">IF($CB58=0,0,IF($CB58=INDEX($CB$1:$CB58,$CD58),INDEX($CN$1:$CN58,$CD58),$CP58))</f>
        <v>0</v>
      </c>
      <c r="CO58" s="378"/>
      <c r="CP58" s="379" cm="1">
        <f t="array" ref="CP58">IF($CC58=0,0,INDEX($CP$1:$CP58,$CD58))</f>
        <v>0</v>
      </c>
      <c r="CQ58" s="380"/>
      <c r="CR58" s="381"/>
      <c r="CS58" s="381"/>
      <c r="CT58" s="1132"/>
      <c r="CU58" s="1129"/>
      <c r="CV58" s="630">
        <f t="shared" si="166"/>
        <v>9.9919041418650816E-3</v>
      </c>
      <c r="CW58" s="631">
        <f t="shared" si="167"/>
        <v>1.6329248659196734E-3</v>
      </c>
      <c r="CX58" s="631">
        <f t="shared" si="168"/>
        <v>2.548541666666667E-2</v>
      </c>
      <c r="CY58" s="631">
        <f t="shared" si="169"/>
        <v>0</v>
      </c>
      <c r="CZ58" s="631">
        <f t="shared" si="170"/>
        <v>0</v>
      </c>
      <c r="DA58" s="631">
        <f t="shared" si="171"/>
        <v>3.5477320808531749E-4</v>
      </c>
      <c r="DB58" s="631">
        <f t="shared" si="172"/>
        <v>3.6302178458192894E-3</v>
      </c>
      <c r="DC58" s="632">
        <f t="shared" si="173"/>
        <v>4.1095236728356022E-2</v>
      </c>
      <c r="DD58" s="631">
        <f t="shared" si="174"/>
        <v>0</v>
      </c>
      <c r="DE58" s="631">
        <f t="shared" si="175"/>
        <v>0</v>
      </c>
      <c r="DF58" s="631">
        <f t="shared" si="176"/>
        <v>0</v>
      </c>
      <c r="DG58" s="632">
        <f t="shared" si="177"/>
        <v>0</v>
      </c>
      <c r="DH58" s="632">
        <f t="shared" si="178"/>
        <v>4.1095236728356022E-2</v>
      </c>
      <c r="DI58" s="631">
        <f t="shared" si="179"/>
        <v>0</v>
      </c>
      <c r="DJ58" s="631">
        <f t="shared" si="180"/>
        <v>0</v>
      </c>
      <c r="DK58" s="631">
        <f t="shared" si="181"/>
        <v>4.0740463520270711E-3</v>
      </c>
      <c r="DL58" s="631">
        <f t="shared" si="182"/>
        <v>0</v>
      </c>
      <c r="DM58" s="631">
        <f t="shared" si="183"/>
        <v>0</v>
      </c>
      <c r="DN58" s="631">
        <f t="shared" si="184"/>
        <v>2.4444278112162421E-3</v>
      </c>
      <c r="DO58" s="631">
        <f t="shared" si="185"/>
        <v>0</v>
      </c>
      <c r="DP58" s="634">
        <f t="shared" si="186"/>
        <v>4.7613710891599333E-2</v>
      </c>
      <c r="DQ58" s="929">
        <f>IF($CB58=0,0,$DP58*_xlfn.XLOOKUP($CB58,Premises!$A$10:$F$10,Premises!$A$30:$F$30)/100)</f>
        <v>0</v>
      </c>
      <c r="DR58" s="633">
        <f>IFERROR(SUM($DP58:$DQ58)*IF(INDEX(Premises!$A$42:$F$42,1,MATCH($CB58,Premises!$A$10:$F$10,0))&gt;0,INDEX(Premises!$A$42:$F$42,1,MATCH($CB58,Premises!$A$10:$F$10,0))%,$CN58),0)</f>
        <v>0</v>
      </c>
      <c r="DS58" s="633" cm="1">
        <f t="array" ref="DS58">IF($CB58=0,0,SUM($DP58:$DR58)*_xlfn.XLOOKUP($CB58,Premises!$A$10:$F$10,IF(INDEX(Settings[],MATCH(3001,Settings[ID],0),2)="B",Premises!$A$33:$F$33,Premises!$A$31:$F$31))/100)</f>
        <v>0</v>
      </c>
      <c r="DT58" s="633" cm="1">
        <f t="array" ref="DT58">IF($CB58=0,0,$DP58*_xlfn.XLOOKUP($CB58,Premises!$A$10:$F$10,IF(INDEX(Settings[],MATCH(3002,Settings[ID],0),2)="B",Premises!$A$36:$F$36,Premises!$A$34:$F$34))/100)</f>
        <v>0</v>
      </c>
      <c r="DU58" s="633">
        <f>IF($CB58=0,0,SUM($DP58:$DT58)*_xlfn.XLOOKUP($CB58,Premises!$A$10:$F$10,Premises!$A$37:$F$37)/100)</f>
        <v>0</v>
      </c>
      <c r="DV58" s="932">
        <f t="shared" si="187"/>
        <v>4.7613710891599333E-2</v>
      </c>
      <c r="DW58" s="929">
        <f>IF($CC58=0,0,$DV58*_xlfn.XLOOKUP($CC58,Premises!$A$10:$F$10,Premises!$A$30:$F$30)/100)</f>
        <v>0</v>
      </c>
      <c r="DX58" s="633">
        <f>IFERROR(SUM($DV58:$DW58)*IF(INDEX(Premises!$A$42:$F$42,1,MATCH($CC58,Premises!$A$10:$F$10,0))&gt;0,INDEX(Premises!$A$42:$F$42,1,MATCH($CC58,Premises!$A$10:$F$10,0))%,$CP58),0)</f>
        <v>0</v>
      </c>
      <c r="DY58" s="633" cm="1">
        <f t="array" ref="DY58">IF($CC58=0,0,SUM($DV58:$DX58)*_xlfn.XLOOKUP($CC58,Premises!$A$10:$F$10,IF(INDEX(Settings[],MATCH(3001,Settings[ID],0),2)="B",Premises!$A$33:$F$33,Premises!$A$31:$F$31))/100)</f>
        <v>0</v>
      </c>
      <c r="DZ58" s="633" cm="1">
        <f t="array" ref="DZ58">IF($CC58=0,0,$DV58*_xlfn.XLOOKUP($CC58,Premises!$A$10:$F$10,IF(INDEX(Settings[],MATCH(3002,Settings[ID],0),2)="B",Premises!$A$36:$F$36,Premises!$A$34:$F$34))/100)</f>
        <v>0</v>
      </c>
      <c r="EA58" s="633">
        <f>IF($CC58=0,0,SUM($DV58:$DZ58)*_xlfn.XLOOKUP($CC58,Premises!$A$10:$F$10,Premises!$A$37:$F$37)/100)</f>
        <v>0</v>
      </c>
      <c r="EB58" s="634">
        <f t="shared" si="188"/>
        <v>4.7613710891599333E-2</v>
      </c>
      <c r="EC58" s="783"/>
      <c r="ED58" s="1082"/>
      <c r="EE58" s="633"/>
      <c r="EF58" s="1088"/>
      <c r="EG58" s="1086"/>
      <c r="EH58" s="1086"/>
      <c r="EI58" s="1086"/>
      <c r="EJ58" s="1086"/>
      <c r="EK58" s="1086"/>
      <c r="EL58" s="1086"/>
      <c r="EM58" s="1088"/>
      <c r="EN58" s="1086"/>
      <c r="EO58" s="1086"/>
      <c r="EP58" s="1086"/>
      <c r="EQ58" s="1086"/>
      <c r="ER58" s="1088"/>
      <c r="ES58" s="1086"/>
      <c r="ET58" s="1086"/>
      <c r="EU58" s="1086"/>
      <c r="EV58" s="1086"/>
      <c r="EW58" s="1086"/>
      <c r="EX58" s="1089"/>
      <c r="EY58" s="2"/>
      <c r="EZ58" s="2"/>
      <c r="FA58" s="2"/>
      <c r="FB58" s="2"/>
      <c r="FC58" s="2"/>
      <c r="FD58" s="2"/>
      <c r="FE58" s="2"/>
      <c r="FF58" s="2"/>
      <c r="FG58" s="2"/>
      <c r="FH58" s="2"/>
      <c r="FI58" s="2"/>
      <c r="FJ58" s="403"/>
      <c r="FK58" s="404"/>
      <c r="FL58" s="405"/>
      <c r="FM58" s="1133"/>
    </row>
    <row r="59" spans="1:169" s="13" customFormat="1" ht="12.75" customHeight="1">
      <c r="A59" s="215"/>
      <c r="B59" s="385"/>
      <c r="C59" s="386"/>
      <c r="D59" s="629"/>
      <c r="E59" s="387"/>
      <c r="F59" s="388"/>
      <c r="G59" s="388"/>
      <c r="H59" s="388"/>
      <c r="I59" s="620" cm="1">
        <f t="array" ref="I59">IF($CI59=0,0,IFERROR(INDEX(MHR[],$CI59,MATCH($CA59,MHR!$B$4:$AY$4,0)),0))</f>
        <v>0</v>
      </c>
      <c r="J59" s="617">
        <f t="shared" si="142"/>
        <v>0</v>
      </c>
      <c r="K59" s="389"/>
      <c r="L59" s="390"/>
      <c r="M59" s="849"/>
      <c r="N59" s="390"/>
      <c r="O59" s="388"/>
      <c r="P59" s="628" cm="1">
        <f t="array" ref="P59">IF($K59=0,0,IFERROR(ROUNDUP(IF(ISNUMBER($K59),$K59,INDEX($D$1:$D59,$CD59)*INDEX(Premises!$A$13:$F$13,1,$CH59)/IF(OR($K59="T",$K59="D"),250,IF($K59="W",50,IF($K59="M",12,IF(OR($K59="HJ",$K59="HY"),2,IF(OR($K59="J",$K59="Y"),1,0)))))),0),0))</f>
        <v>0</v>
      </c>
      <c r="Q59" s="620" cm="1">
        <f t="array" ref="Q59">IF($K59=0,0,IFERROR(INDEX(Premises!$A$22:$F$22,1,$CH59)*100/INDEX(Premises!$A$16:$F$16,1,$CH59),0))</f>
        <v>0</v>
      </c>
      <c r="R59" s="617">
        <f>IF($P59=0,0,IFERROR(($L59/60*($I59+$Q59*$M59)+($N59/60*($Q59*$O59)))/$P59,0))</f>
        <v>0</v>
      </c>
      <c r="S59" s="391"/>
      <c r="T59" s="392"/>
      <c r="U59" s="620" cm="1">
        <f t="array" ref="U59">IF(COUNTBLANK($S59:$T59),0,
IF(AND(INDEX(MHR[Schichtmodell],$CI59)&lt;&gt;0,INDEX(MHR[Schichtmodell],$CI59)&lt;&gt;INDEX(Premises!$A$20:$F$20,1,$CH59)),ExchangeRate*
IF(OR($T59="M",$T59="U"),IF(INDEX(MHR[Schichtmodell],$CI59)=1,INDEX(LOC[M1S],INDEX(Premises!$A$18:$F$18,1,$CH59+1)),IF(INDEX(MHR[Schichtmodell],$CI59)=2,INDEX(LOC[M2S],INDEX(Premises!$A$18:$F$18,1,$CH59+1),IF(INDEX(MHR[Schichtmodell],$CI59)=3,INDEX(LOC[M3S],INDEX(Premises!$A$18:$F$18,1,$CH59+1)),0)))),
IF(INDEX(MHR[Schichtmodell],$CI59)=1,INDEX(LOC[F1S],INDEX(Premises!$A$18:$F$18,1,$CH59+1)),IF(INDEX(MHR[Schichtmodell],$CI59)=2,INDEX(LOC[F2S],INDEX(Premises!$A$18:$F$18,1,$CH59+1)),IF(INDEX(MHR[Schichtmodell],$CI59)=3,INDEX(LOC[F3S],INDEX(Premises!$A$18:$F$18,1,$CH59+1)),0)))),
IF(OR($T59="M",$T59="U"),INDEX(Premises!$A$21:$F$21,1,$CH59),
IF(OR($T59="F",$T59="S"),INDEX(Premises!$A$22:$F$22,1,$CH59),0)))*100/INDEX(Premises!$A$16:$F$16,1,$CH59))</f>
        <v>0</v>
      </c>
      <c r="V59" s="614">
        <f t="shared" si="143"/>
        <v>0</v>
      </c>
      <c r="W59" s="393"/>
      <c r="X59" s="386"/>
      <c r="Y59" s="394"/>
      <c r="Z59" s="395"/>
      <c r="AA59" s="611">
        <f t="shared" si="144"/>
        <v>0</v>
      </c>
      <c r="AB59" s="393"/>
      <c r="AC59" s="386"/>
      <c r="AD59" s="394"/>
      <c r="AE59" s="396"/>
      <c r="AF59" s="611">
        <f t="shared" si="145"/>
        <v>0</v>
      </c>
      <c r="AG59" s="612" cm="1">
        <f t="array" ref="AG59">IF(($J59+$V59+$AF59)=0,0,INDEX(Premises!$A$30:$F$30,1,$CH59)/100)</f>
        <v>0</v>
      </c>
      <c r="AH59" s="397"/>
      <c r="AI59" s="398"/>
      <c r="AJ59" s="399"/>
      <c r="AK59" s="613">
        <f t="shared" si="146"/>
        <v>0</v>
      </c>
      <c r="AL59" s="614">
        <f t="shared" si="147"/>
        <v>0</v>
      </c>
      <c r="AM59" s="615" cm="1">
        <f t="array" ref="AM59">IF($CI59=0,0,IFERROR(INDEX(MHR[],$CI59,MATCH($CA59,MHR!$B$4:$AY$4,0)+11),0))</f>
        <v>0</v>
      </c>
      <c r="AN59" s="616" cm="1">
        <f t="array" ref="AN59">IF(($J59+$V59)=0,0,IFERROR(IF(INDEX(Premises!$A$41:$F$41,1,$CH59)&lt;&gt;0,INDEX(Premises!$A$41:$F$41,1,$CH59)/100,(IFERROR(($J59/$I59)*$AM59,0)/($V59+$J59+$R59+$AL59))),0))</f>
        <v>0</v>
      </c>
      <c r="AO59" s="617">
        <f t="shared" si="148"/>
        <v>0</v>
      </c>
      <c r="AP59" s="618">
        <f t="shared" si="149"/>
        <v>0</v>
      </c>
      <c r="AQ59" s="393"/>
      <c r="AR59" s="392"/>
      <c r="AS59" s="619" cm="1">
        <f t="array" ref="AS59">IF($CJ59=0,0,IFERROR(INDEX(MAT[Einheit],$CJ59,1),0))</f>
        <v>0</v>
      </c>
      <c r="AT59" s="620" cm="1">
        <f t="array" ref="AT59">IF($CJ59=0,0,IFERROR(INDEX(MAT[Preis],$CJ59,1),0))</f>
        <v>0</v>
      </c>
      <c r="AU59" s="621">
        <f t="shared" si="150"/>
        <v>0</v>
      </c>
      <c r="AV59" s="622" cm="1">
        <f t="array" ref="AV59">IF($AU59&lt;=0,0,INDEX(Premises!$A$30:$F$30,1,$CH59)/100)</f>
        <v>0</v>
      </c>
      <c r="AW59" s="392"/>
      <c r="AX59" s="614">
        <f t="shared" si="151"/>
        <v>0</v>
      </c>
      <c r="AY59" s="623" cm="1">
        <f t="array" ref="AY59">IF($AT59&lt;=0,0,IFERROR(IF(INDEX(Premises!$A$42:$F$42,1,$CH59)&lt;&gt;0,INDEX(Premises!$A$42:$F$42,1,$CH59)/100,(INDEX(MAT[],$CJ59,MATCH($CA59,MAT!$B$4:$AE$4,0))/($AR59*$CK59*INDEX(Premises!$A$13:$F$13,1,$CH59))+INDEX(MAT[],$CJ59,MATCH($CA59,MAT!$B$4:$AE$4,0)+7))/$AT59),0))</f>
        <v>0</v>
      </c>
      <c r="AZ59" s="614">
        <f t="shared" si="152"/>
        <v>0</v>
      </c>
      <c r="BA59" s="618">
        <f t="shared" si="153"/>
        <v>0</v>
      </c>
      <c r="BB59" s="618">
        <f t="shared" si="154"/>
        <v>0</v>
      </c>
      <c r="BC59" s="622" cm="1">
        <f t="array" ref="BC59">IF($BB59&lt;=0,0,IF(BC$2=-1,0,INDEX(Premises!$A$32:$F$32,1,$CH59)/100))</f>
        <v>0</v>
      </c>
      <c r="BD59" s="614">
        <f t="shared" si="155"/>
        <v>0</v>
      </c>
      <c r="BE59" s="622" cm="1">
        <f t="array" ref="BE59">IF($BB59&lt;=0,0,IF(BE$2=-1,0,INDEX(Premises!$A$33:$F$33,1,$CH59)/100))</f>
        <v>0</v>
      </c>
      <c r="BF59" s="614">
        <f t="shared" si="156"/>
        <v>0</v>
      </c>
      <c r="BG59" s="622" cm="1">
        <f t="array" ref="BG59">IF($BB59&lt;=0,0,IF(BG$2=-1,0,INDEX(Premises!$A$31:$F$31,1,$CH59)/100))</f>
        <v>0</v>
      </c>
      <c r="BH59" s="614">
        <f t="shared" si="157"/>
        <v>0</v>
      </c>
      <c r="BI59" s="618">
        <f t="shared" si="158"/>
        <v>0</v>
      </c>
      <c r="BJ59" s="622" cm="1">
        <f t="array" ref="BJ59">IF($BB59&lt;=0,0,IF(BJ$2=-1,0,INDEX(Premises!$A$35:$F$35,1,$CH59)/100))</f>
        <v>0</v>
      </c>
      <c r="BK59" s="614">
        <f t="shared" si="159"/>
        <v>0</v>
      </c>
      <c r="BL59" s="622" cm="1">
        <f t="array" ref="BL59">IF($BB59&lt;=0,0,IF(BL$2=-1,0,INDEX(Premises!$A$36:$F$36,1,$CH59)/100))</f>
        <v>0</v>
      </c>
      <c r="BM59" s="614">
        <f t="shared" si="160"/>
        <v>0</v>
      </c>
      <c r="BN59" s="622" cm="1">
        <f t="array" ref="BN59">IF($BB59&lt;=0,0,IF(BN$2=-1,0,INDEX(Premises!$A$34:$F$34,1,$CH59)/100))</f>
        <v>0</v>
      </c>
      <c r="BO59" s="614">
        <f t="shared" si="161"/>
        <v>0</v>
      </c>
      <c r="BP59" s="622" cm="1">
        <f t="array" ref="BP59">IF($BI59=0,0,INDEX(Premises!$A$37:$F$37,1,$CH59)/100)</f>
        <v>0</v>
      </c>
      <c r="BQ59" s="392"/>
      <c r="BR59" s="614">
        <f t="shared" si="162"/>
        <v>0</v>
      </c>
      <c r="BS59" s="624">
        <f t="shared" si="163"/>
        <v>0</v>
      </c>
      <c r="BT59" s="624">
        <f t="shared" si="164"/>
        <v>0</v>
      </c>
      <c r="BU59" s="625">
        <f t="shared" si="165"/>
        <v>0</v>
      </c>
      <c r="BV59" s="400"/>
      <c r="BW59" s="401"/>
      <c r="BX59" s="401"/>
      <c r="BY59" s="402"/>
      <c r="BZ59" s="946"/>
      <c r="CA59" s="263" cm="1">
        <f t="array" ref="CA59">IF($BZ59&gt;0,VALUE(LEFT($BZ59,IF(ISERROR(FIND("-",$BZ59)),LEN($BZ59),FIND("-",$BZ59)-1))),INDEX($CA$1:$CA59,MAX(1,$CD59)))</f>
        <v>1</v>
      </c>
      <c r="CB59" s="263" cm="1">
        <f t="array" ref="CB59">IF($BT59=0,0,IF(LEN($BZ59)-LEN(SUBSTITUTE($BZ59,"-",""))&gt;1,
VALUE(MID($BZ59,FIND("-",$BZ59)+1,FIND("-",$BZ59,FIND("-",$BZ59)+1)-FIND("-",$BZ59)-1)),IF($BZ59&gt;0,0,INDEX($CB$1:$CB59,MAX(1,$CD59)))))</f>
        <v>0</v>
      </c>
      <c r="CC59" s="263" cm="1">
        <f t="array" ref="CC59">IF($BT59=0,0,IF(NOT(ISERROR(FIND("-",BZ59))),
VALUE(RIGHT($BZ59,LEN($BZ59)-IF(LEN($BZ59)-LEN(SUBSTITUTE($BZ59,"-",""))=1,FIND("-",$BZ59),FIND("-",$BZ59,FIND("-",$BZ59)+1)))),
IF($BZ59&gt;0,0,INDEX($CC$1:$CC59,MAX(1,$CD59)))))</f>
        <v>0</v>
      </c>
      <c r="CD59" s="376">
        <f>MATCH(0,$CE$1:$CE59,-1)</f>
        <v>52</v>
      </c>
      <c r="CE59" s="263"/>
      <c r="CF59" s="377"/>
      <c r="CG59" s="376" cm="1">
        <f t="array" ref="CG59">INDEX($CG$1:$CG59,$CD59)</f>
        <v>8</v>
      </c>
      <c r="CH59" s="263">
        <f>MATCH($CA59,Premises!$A$10:$F$10,0)</f>
        <v>4</v>
      </c>
      <c r="CI59" s="263">
        <f>IF(ISBLANK($E59),0,IFERROR(MATCH($E59,MHR[Bezeichnung],0),0))</f>
        <v>0</v>
      </c>
      <c r="CJ59" s="377">
        <f>IF(ISBLANK($AQ59),0,IFERROR(MATCH($AQ59,MAT[Bezeichnung],0),0))</f>
        <v>0</v>
      </c>
      <c r="CK59" s="263" cm="1">
        <f t="array" ref="CK59">INDEX($D$1:$D59,$CD59)</f>
        <v>1</v>
      </c>
      <c r="CL59" s="263"/>
      <c r="CM59" s="378"/>
      <c r="CN59" s="379" cm="1">
        <f t="array" ref="CN59">IF($CB59=0,0,IF($CB59=INDEX($CB$1:$CB59,$CD59),INDEX($CN$1:$CN59,$CD59),$CP59))</f>
        <v>0</v>
      </c>
      <c r="CO59" s="378"/>
      <c r="CP59" s="379" cm="1">
        <f t="array" ref="CP59">IF($CC59=0,0,INDEX($CP$1:$CP59,$CD59))</f>
        <v>0</v>
      </c>
      <c r="CQ59" s="380"/>
      <c r="CR59" s="381"/>
      <c r="CS59" s="381"/>
      <c r="CT59" s="948"/>
      <c r="CU59" s="2"/>
      <c r="CV59" s="630">
        <f t="shared" si="166"/>
        <v>0</v>
      </c>
      <c r="CW59" s="631">
        <f t="shared" si="167"/>
        <v>0</v>
      </c>
      <c r="CX59" s="631">
        <f t="shared" si="168"/>
        <v>0</v>
      </c>
      <c r="CY59" s="631">
        <f t="shared" si="169"/>
        <v>0</v>
      </c>
      <c r="CZ59" s="631">
        <f t="shared" si="170"/>
        <v>0</v>
      </c>
      <c r="DA59" s="631">
        <f t="shared" si="171"/>
        <v>0</v>
      </c>
      <c r="DB59" s="631">
        <f t="shared" si="172"/>
        <v>0</v>
      </c>
      <c r="DC59" s="632">
        <f t="shared" si="173"/>
        <v>0</v>
      </c>
      <c r="DD59" s="631">
        <f t="shared" si="174"/>
        <v>0</v>
      </c>
      <c r="DE59" s="631">
        <f t="shared" si="175"/>
        <v>0</v>
      </c>
      <c r="DF59" s="631">
        <f t="shared" si="176"/>
        <v>0</v>
      </c>
      <c r="DG59" s="632">
        <f t="shared" si="177"/>
        <v>0</v>
      </c>
      <c r="DH59" s="632">
        <f t="shared" si="178"/>
        <v>0</v>
      </c>
      <c r="DI59" s="631">
        <f t="shared" si="179"/>
        <v>0</v>
      </c>
      <c r="DJ59" s="631">
        <f t="shared" si="180"/>
        <v>0</v>
      </c>
      <c r="DK59" s="631">
        <f t="shared" si="181"/>
        <v>0</v>
      </c>
      <c r="DL59" s="631">
        <f t="shared" si="182"/>
        <v>0</v>
      </c>
      <c r="DM59" s="631">
        <f t="shared" si="183"/>
        <v>0</v>
      </c>
      <c r="DN59" s="631">
        <f t="shared" si="184"/>
        <v>0</v>
      </c>
      <c r="DO59" s="631">
        <f t="shared" si="185"/>
        <v>0</v>
      </c>
      <c r="DP59" s="634">
        <f t="shared" si="186"/>
        <v>0</v>
      </c>
      <c r="DQ59" s="929">
        <f>IF($CB59=0,0,$DP59*_xlfn.XLOOKUP($CB59,Premises!$A$10:$F$10,Premises!$A$30:$F$30)/100)</f>
        <v>0</v>
      </c>
      <c r="DR59" s="633">
        <f>IFERROR(SUM($DP59:$DQ59)*IF(INDEX(Premises!$A$42:$F$42,1,MATCH($CB59,Premises!$A$10:$F$10,0))&gt;0,INDEX(Premises!$A$42:$F$42,1,MATCH($CB59,Premises!$A$10:$F$10,0))%,$CN59),0)</f>
        <v>0</v>
      </c>
      <c r="DS59" s="633" cm="1">
        <f t="array" ref="DS59">IF($CB59=0,0,SUM($DP59:$DR59)*_xlfn.XLOOKUP($CB59,Premises!$A$10:$F$10,IF(INDEX(Settings[],MATCH(3001,Settings[ID],0),2)="B",Premises!$A$33:$F$33,Premises!$A$31:$F$31))/100)</f>
        <v>0</v>
      </c>
      <c r="DT59" s="633" cm="1">
        <f t="array" ref="DT59">IF($CB59=0,0,$DP59*_xlfn.XLOOKUP($CB59,Premises!$A$10:$F$10,IF(INDEX(Settings[],MATCH(3002,Settings[ID],0),2)="B",Premises!$A$36:$F$36,Premises!$A$34:$F$34))/100)</f>
        <v>0</v>
      </c>
      <c r="DU59" s="633">
        <f>IF($CB59=0,0,SUM($DP59:$DT59)*_xlfn.XLOOKUP($CB59,Premises!$A$10:$F$10,Premises!$A$37:$F$37)/100)</f>
        <v>0</v>
      </c>
      <c r="DV59" s="932">
        <f t="shared" si="187"/>
        <v>0</v>
      </c>
      <c r="DW59" s="929">
        <f>IF($CC59=0,0,$DV59*_xlfn.XLOOKUP($CC59,Premises!$A$10:$F$10,Premises!$A$30:$F$30)/100)</f>
        <v>0</v>
      </c>
      <c r="DX59" s="633">
        <f>IFERROR(SUM($DV59:$DW59)*IF(INDEX(Premises!$A$42:$F$42,1,MATCH($CC59,Premises!$A$10:$F$10,0))&gt;0,INDEX(Premises!$A$42:$F$42,1,MATCH($CC59,Premises!$A$10:$F$10,0))%,$CP59),0)</f>
        <v>0</v>
      </c>
      <c r="DY59" s="633" cm="1">
        <f t="array" ref="DY59">IF($CC59=0,0,SUM($DV59:$DX59)*_xlfn.XLOOKUP($CC59,Premises!$A$10:$F$10,IF(INDEX(Settings[],MATCH(3001,Settings[ID],0),2)="B",Premises!$A$33:$F$33,Premises!$A$31:$F$31))/100)</f>
        <v>0</v>
      </c>
      <c r="DZ59" s="633" cm="1">
        <f t="array" ref="DZ59">IF($CC59=0,0,$DV59*_xlfn.XLOOKUP($CC59,Premises!$A$10:$F$10,IF(INDEX(Settings[],MATCH(3002,Settings[ID],0),2)="B",Premises!$A$36:$F$36,Premises!$A$34:$F$34))/100)</f>
        <v>0</v>
      </c>
      <c r="EA59" s="633">
        <f>IF($CC59=0,0,SUM($DV59:$DZ59)*_xlfn.XLOOKUP($CC59,Premises!$A$10:$F$10,Premises!$A$37:$F$37)/100)</f>
        <v>0</v>
      </c>
      <c r="EB59" s="634">
        <f t="shared" si="188"/>
        <v>0</v>
      </c>
      <c r="EC59" s="783"/>
      <c r="ED59" s="1082"/>
      <c r="EE59" s="633"/>
      <c r="EF59" s="1088"/>
      <c r="EG59" s="1086"/>
      <c r="EH59" s="1086"/>
      <c r="EI59" s="1086"/>
      <c r="EJ59" s="1086"/>
      <c r="EK59" s="1086"/>
      <c r="EL59" s="1086"/>
      <c r="EM59" s="1088"/>
      <c r="EN59" s="1086"/>
      <c r="EO59" s="1086"/>
      <c r="EP59" s="1086"/>
      <c r="EQ59" s="1086"/>
      <c r="ER59" s="1088"/>
      <c r="ES59" s="1086"/>
      <c r="ET59" s="1086"/>
      <c r="EU59" s="1086"/>
      <c r="EV59" s="1086"/>
      <c r="EW59" s="1086"/>
      <c r="EX59" s="1089"/>
      <c r="EY59" s="2"/>
      <c r="EZ59" s="2"/>
      <c r="FA59" s="2"/>
      <c r="FB59" s="2"/>
      <c r="FC59" s="2"/>
      <c r="FD59" s="2"/>
      <c r="FE59" s="2"/>
      <c r="FF59" s="2"/>
      <c r="FG59" s="2"/>
      <c r="FH59" s="2"/>
      <c r="FI59" s="2"/>
      <c r="FJ59" s="403"/>
      <c r="FK59" s="404"/>
      <c r="FL59" s="405"/>
      <c r="FM59" s="948"/>
    </row>
    <row r="60" spans="1:169" s="13" customFormat="1" ht="12.75" customHeight="1">
      <c r="A60" s="215"/>
      <c r="B60" s="385"/>
      <c r="C60" s="386"/>
      <c r="D60" s="629"/>
      <c r="E60" s="387"/>
      <c r="F60" s="388"/>
      <c r="G60" s="388"/>
      <c r="H60" s="388"/>
      <c r="I60" s="620" cm="1">
        <f t="array" ref="I60">IF($CI60=0,0,IFERROR(INDEX(MHR[],$CI60,MATCH($CA60,MHR!$B$4:$AY$4,0)),0))</f>
        <v>0</v>
      </c>
      <c r="J60" s="617">
        <f t="shared" si="142"/>
        <v>0</v>
      </c>
      <c r="K60" s="389"/>
      <c r="L60" s="390"/>
      <c r="M60" s="849"/>
      <c r="N60" s="390"/>
      <c r="O60" s="388"/>
      <c r="P60" s="628" cm="1">
        <f t="array" ref="P60">IF($K60=0,0,IFERROR(ROUNDUP(IF(ISNUMBER($K60),$K60,INDEX($D$1:$D60,$CD60)*INDEX(Premises!$A$13:$F$13,1,$CH60)/IF(OR($K60="T",$K60="D"),250,IF($K60="W",50,IF($K60="M",12,IF(OR($K60="HJ",$K60="HY"),2,IF(OR($K60="J",$K60="Y"),1,0)))))),0),0))</f>
        <v>0</v>
      </c>
      <c r="Q60" s="620" cm="1">
        <f t="array" ref="Q60">IF($K60=0,0,IFERROR(INDEX(Premises!$A$22:$F$22,1,$CH60)*100/INDEX(Premises!$A$16:$F$16,1,$CH60),0))</f>
        <v>0</v>
      </c>
      <c r="R60" s="617">
        <f>IF($P60=0,0,IFERROR(($L60/60*($I60+$Q60*$M60)+($N60/60*($Q60*$O60)))/$P60,0))</f>
        <v>0</v>
      </c>
      <c r="S60" s="391"/>
      <c r="T60" s="392"/>
      <c r="U60" s="620" cm="1">
        <f t="array" ref="U60">IF(COUNTBLANK($S60:$T60),0,
IF(AND(INDEX(MHR[Schichtmodell],$CI60)&lt;&gt;0,INDEX(MHR[Schichtmodell],$CI60)&lt;&gt;INDEX(Premises!$A$20:$F$20,1,$CH60)),ExchangeRate*
IF(OR($T60="M",$T60="U"),IF(INDEX(MHR[Schichtmodell],$CI60)=1,INDEX(LOC[M1S],INDEX(Premises!$A$18:$F$18,1,$CH60+1)),IF(INDEX(MHR[Schichtmodell],$CI60)=2,INDEX(LOC[M2S],INDEX(Premises!$A$18:$F$18,1,$CH60+1),IF(INDEX(MHR[Schichtmodell],$CI60)=3,INDEX(LOC[M3S],INDEX(Premises!$A$18:$F$18,1,$CH60+1)),0)))),
IF(INDEX(MHR[Schichtmodell],$CI60)=1,INDEX(LOC[F1S],INDEX(Premises!$A$18:$F$18,1,$CH60+1)),IF(INDEX(MHR[Schichtmodell],$CI60)=2,INDEX(LOC[F2S],INDEX(Premises!$A$18:$F$18,1,$CH60+1)),IF(INDEX(MHR[Schichtmodell],$CI60)=3,INDEX(LOC[F3S],INDEX(Premises!$A$18:$F$18,1,$CH60+1)),0)))),
IF(OR($T60="M",$T60="U"),INDEX(Premises!$A$21:$F$21,1,$CH60),
IF(OR($T60="F",$T60="S"),INDEX(Premises!$A$22:$F$22,1,$CH60),0)))*100/INDEX(Premises!$A$16:$F$16,1,$CH60))</f>
        <v>0</v>
      </c>
      <c r="V60" s="614">
        <f t="shared" si="143"/>
        <v>0</v>
      </c>
      <c r="W60" s="393"/>
      <c r="X60" s="386"/>
      <c r="Y60" s="394"/>
      <c r="Z60" s="395"/>
      <c r="AA60" s="611">
        <f t="shared" si="144"/>
        <v>0</v>
      </c>
      <c r="AB60" s="393"/>
      <c r="AC60" s="386"/>
      <c r="AD60" s="394"/>
      <c r="AE60" s="396"/>
      <c r="AF60" s="611">
        <f t="shared" si="145"/>
        <v>0</v>
      </c>
      <c r="AG60" s="612" cm="1">
        <f t="array" ref="AG60">IF(($J60+$V60+$AF60)=0,0,INDEX(Premises!$A$30:$F$30,1,$CH60)/100)</f>
        <v>0</v>
      </c>
      <c r="AH60" s="397"/>
      <c r="AI60" s="398"/>
      <c r="AJ60" s="399"/>
      <c r="AK60" s="613">
        <f t="shared" si="146"/>
        <v>0</v>
      </c>
      <c r="AL60" s="614">
        <f t="shared" si="147"/>
        <v>0</v>
      </c>
      <c r="AM60" s="615" cm="1">
        <f t="array" ref="AM60">IF($CI60=0,0,IFERROR(INDEX(MHR[],$CI60,MATCH($CA60,MHR!$B$4:$AY$4,0)+11),0))</f>
        <v>0</v>
      </c>
      <c r="AN60" s="616" cm="1">
        <f t="array" ref="AN60">IF(($J60+$V60)=0,0,IFERROR(IF(INDEX(Premises!$A$41:$F$41,1,$CH60)&lt;&gt;0,INDEX(Premises!$A$41:$F$41,1,$CH60)/100,(IFERROR(($J60/$I60)*$AM60,0)/($V60+$J60+$R60+$AL60))),0))</f>
        <v>0</v>
      </c>
      <c r="AO60" s="617">
        <f t="shared" si="148"/>
        <v>0</v>
      </c>
      <c r="AP60" s="618">
        <f t="shared" si="149"/>
        <v>0</v>
      </c>
      <c r="AQ60" s="393"/>
      <c r="AR60" s="392"/>
      <c r="AS60" s="619" cm="1">
        <f t="array" ref="AS60">IF($CJ60=0,0,IFERROR(INDEX(MAT[Einheit],$CJ60,1),0))</f>
        <v>0</v>
      </c>
      <c r="AT60" s="620" cm="1">
        <f t="array" ref="AT60">IF($CJ60=0,0,IFERROR(INDEX(MAT[Preis],$CJ60,1),0))</f>
        <v>0</v>
      </c>
      <c r="AU60" s="621">
        <f t="shared" si="150"/>
        <v>0</v>
      </c>
      <c r="AV60" s="622" cm="1">
        <f t="array" ref="AV60">IF($AU60&lt;=0,0,INDEX(Premises!$A$30:$F$30,1,$CH60)/100)</f>
        <v>0</v>
      </c>
      <c r="AW60" s="392"/>
      <c r="AX60" s="614">
        <f t="shared" si="151"/>
        <v>0</v>
      </c>
      <c r="AY60" s="623" cm="1">
        <f t="array" ref="AY60">IF($AT60&lt;=0,0,IFERROR(IF(INDEX(Premises!$A$42:$F$42,1,$CH60)&lt;&gt;0,INDEX(Premises!$A$42:$F$42,1,$CH60)/100,(INDEX(MAT[],$CJ60,MATCH($CA60,MAT!$B$4:$AE$4,0))/($AR60*$CK60*INDEX(Premises!$A$13:$F$13,1,$CH60))+INDEX(MAT[],$CJ60,MATCH($CA60,MAT!$B$4:$AE$4,0)+7))/$AT60),0))</f>
        <v>0</v>
      </c>
      <c r="AZ60" s="614">
        <f t="shared" si="152"/>
        <v>0</v>
      </c>
      <c r="BA60" s="618">
        <f t="shared" si="153"/>
        <v>0</v>
      </c>
      <c r="BB60" s="618">
        <f t="shared" si="154"/>
        <v>0</v>
      </c>
      <c r="BC60" s="622" cm="1">
        <f t="array" ref="BC60">IF($BB60&lt;=0,0,IF(BC$2=-1,0,INDEX(Premises!$A$32:$F$32,1,$CH60)/100))</f>
        <v>0</v>
      </c>
      <c r="BD60" s="614">
        <f t="shared" si="155"/>
        <v>0</v>
      </c>
      <c r="BE60" s="622" cm="1">
        <f t="array" ref="BE60">IF($BB60&lt;=0,0,IF(BE$2=-1,0,INDEX(Premises!$A$33:$F$33,1,$CH60)/100))</f>
        <v>0</v>
      </c>
      <c r="BF60" s="614">
        <f t="shared" si="156"/>
        <v>0</v>
      </c>
      <c r="BG60" s="622" cm="1">
        <f t="array" ref="BG60">IF($BB60&lt;=0,0,IF(BG$2=-1,0,INDEX(Premises!$A$31:$F$31,1,$CH60)/100))</f>
        <v>0</v>
      </c>
      <c r="BH60" s="614">
        <f t="shared" si="157"/>
        <v>0</v>
      </c>
      <c r="BI60" s="618">
        <f t="shared" si="158"/>
        <v>0</v>
      </c>
      <c r="BJ60" s="622" cm="1">
        <f t="array" ref="BJ60">IF($BB60&lt;=0,0,IF(BJ$2=-1,0,INDEX(Premises!$A$35:$F$35,1,$CH60)/100))</f>
        <v>0</v>
      </c>
      <c r="BK60" s="614">
        <f t="shared" si="159"/>
        <v>0</v>
      </c>
      <c r="BL60" s="622" cm="1">
        <f t="array" ref="BL60">IF($BB60&lt;=0,0,IF(BL$2=-1,0,INDEX(Premises!$A$36:$F$36,1,$CH60)/100))</f>
        <v>0</v>
      </c>
      <c r="BM60" s="614">
        <f t="shared" si="160"/>
        <v>0</v>
      </c>
      <c r="BN60" s="622" cm="1">
        <f t="array" ref="BN60">IF($BB60&lt;=0,0,IF(BN$2=-1,0,INDEX(Premises!$A$34:$F$34,1,$CH60)/100))</f>
        <v>0</v>
      </c>
      <c r="BO60" s="614">
        <f t="shared" si="161"/>
        <v>0</v>
      </c>
      <c r="BP60" s="622" cm="1">
        <f t="array" ref="BP60">IF($BI60=0,0,INDEX(Premises!$A$37:$F$37,1,$CH60)/100)</f>
        <v>0</v>
      </c>
      <c r="BQ60" s="392"/>
      <c r="BR60" s="614">
        <f t="shared" si="162"/>
        <v>0</v>
      </c>
      <c r="BS60" s="624">
        <f t="shared" si="163"/>
        <v>0</v>
      </c>
      <c r="BT60" s="624">
        <f t="shared" si="164"/>
        <v>0</v>
      </c>
      <c r="BU60" s="625">
        <f t="shared" si="165"/>
        <v>0</v>
      </c>
      <c r="BV60" s="400"/>
      <c r="BW60" s="401"/>
      <c r="BX60" s="401"/>
      <c r="BY60" s="402"/>
      <c r="BZ60" s="946"/>
      <c r="CA60" s="263" cm="1">
        <f t="array" ref="CA60">IF($BZ60&gt;0,VALUE(LEFT($BZ60,IF(ISERROR(FIND("-",$BZ60)),LEN($BZ60),FIND("-",$BZ60)-1))),INDEX($CA$1:$CA60,MAX(1,$CD60)))</f>
        <v>1</v>
      </c>
      <c r="CB60" s="263" cm="1">
        <f t="array" ref="CB60">IF($BT60=0,0,IF(LEN($BZ60)-LEN(SUBSTITUTE($BZ60,"-",""))&gt;1,
VALUE(MID($BZ60,FIND("-",$BZ60)+1,FIND("-",$BZ60,FIND("-",$BZ60)+1)-FIND("-",$BZ60)-1)),IF($BZ60&gt;0,0,INDEX($CB$1:$CB60,MAX(1,$CD60)))))</f>
        <v>0</v>
      </c>
      <c r="CC60" s="263" cm="1">
        <f t="array" ref="CC60">IF($BT60=0,0,IF(NOT(ISERROR(FIND("-",BZ60))),
VALUE(RIGHT($BZ60,LEN($BZ60)-IF(LEN($BZ60)-LEN(SUBSTITUTE($BZ60,"-",""))=1,FIND("-",$BZ60),FIND("-",$BZ60,FIND("-",$BZ60)+1)))),
IF($BZ60&gt;0,0,INDEX($CC$1:$CC60,MAX(1,$CD60)))))</f>
        <v>0</v>
      </c>
      <c r="CD60" s="376">
        <f>MATCH(0,$CE$1:$CE60,-1)</f>
        <v>52</v>
      </c>
      <c r="CE60" s="263"/>
      <c r="CF60" s="377"/>
      <c r="CG60" s="376" cm="1">
        <f t="array" ref="CG60">INDEX($CG$1:$CG60,$CD60)</f>
        <v>8</v>
      </c>
      <c r="CH60" s="263">
        <f>MATCH($CA60,Premises!$A$10:$F$10,0)</f>
        <v>4</v>
      </c>
      <c r="CI60" s="263">
        <f>IF(ISBLANK($E60),0,IFERROR(MATCH($E60,MHR[Bezeichnung],0),0))</f>
        <v>0</v>
      </c>
      <c r="CJ60" s="377">
        <f>IF(ISBLANK($AQ60),0,IFERROR(MATCH($AQ60,MAT[Bezeichnung],0),0))</f>
        <v>0</v>
      </c>
      <c r="CK60" s="263" cm="1">
        <f t="array" ref="CK60">INDEX($D$1:$D60,$CD60)</f>
        <v>1</v>
      </c>
      <c r="CL60" s="263"/>
      <c r="CM60" s="378"/>
      <c r="CN60" s="379" cm="1">
        <f t="array" ref="CN60">IF($CB60=0,0,IF($CB60=INDEX($CB$1:$CB60,$CD60),INDEX($CN$1:$CN60,$CD60),$CP60))</f>
        <v>0</v>
      </c>
      <c r="CO60" s="378"/>
      <c r="CP60" s="379" cm="1">
        <f t="array" ref="CP60">IF($CC60=0,0,INDEX($CP$1:$CP60,$CD60))</f>
        <v>0</v>
      </c>
      <c r="CQ60" s="380"/>
      <c r="CR60" s="381"/>
      <c r="CS60" s="381"/>
      <c r="CT60" s="948"/>
      <c r="CU60" s="2"/>
      <c r="CV60" s="630">
        <f t="shared" si="166"/>
        <v>0</v>
      </c>
      <c r="CW60" s="631">
        <f t="shared" si="167"/>
        <v>0</v>
      </c>
      <c r="CX60" s="631">
        <f t="shared" si="168"/>
        <v>0</v>
      </c>
      <c r="CY60" s="631">
        <f t="shared" si="169"/>
        <v>0</v>
      </c>
      <c r="CZ60" s="631">
        <f t="shared" si="170"/>
        <v>0</v>
      </c>
      <c r="DA60" s="631">
        <f t="shared" si="171"/>
        <v>0</v>
      </c>
      <c r="DB60" s="631">
        <f t="shared" si="172"/>
        <v>0</v>
      </c>
      <c r="DC60" s="632">
        <f t="shared" si="173"/>
        <v>0</v>
      </c>
      <c r="DD60" s="631">
        <f t="shared" si="174"/>
        <v>0</v>
      </c>
      <c r="DE60" s="631">
        <f t="shared" si="175"/>
        <v>0</v>
      </c>
      <c r="DF60" s="631">
        <f t="shared" si="176"/>
        <v>0</v>
      </c>
      <c r="DG60" s="632">
        <f t="shared" si="177"/>
        <v>0</v>
      </c>
      <c r="DH60" s="632">
        <f t="shared" si="178"/>
        <v>0</v>
      </c>
      <c r="DI60" s="631">
        <f t="shared" si="179"/>
        <v>0</v>
      </c>
      <c r="DJ60" s="631">
        <f t="shared" si="180"/>
        <v>0</v>
      </c>
      <c r="DK60" s="631">
        <f t="shared" si="181"/>
        <v>0</v>
      </c>
      <c r="DL60" s="631">
        <f t="shared" si="182"/>
        <v>0</v>
      </c>
      <c r="DM60" s="631">
        <f t="shared" si="183"/>
        <v>0</v>
      </c>
      <c r="DN60" s="631">
        <f t="shared" si="184"/>
        <v>0</v>
      </c>
      <c r="DO60" s="631">
        <f t="shared" si="185"/>
        <v>0</v>
      </c>
      <c r="DP60" s="634">
        <f t="shared" si="186"/>
        <v>0</v>
      </c>
      <c r="DQ60" s="929">
        <f>IF($CB60=0,0,$DP60*_xlfn.XLOOKUP($CB60,Premises!$A$10:$F$10,Premises!$A$30:$F$30)/100)</f>
        <v>0</v>
      </c>
      <c r="DR60" s="633">
        <f>IFERROR(SUM($DP60:$DQ60)*IF(INDEX(Premises!$A$42:$F$42,1,MATCH($CB60,Premises!$A$10:$F$10,0))&gt;0,INDEX(Premises!$A$42:$F$42,1,MATCH($CB60,Premises!$A$10:$F$10,0))%,$CN60),0)</f>
        <v>0</v>
      </c>
      <c r="DS60" s="633" cm="1">
        <f t="array" ref="DS60">IF($CB60=0,0,SUM($DP60:$DR60)*_xlfn.XLOOKUP($CB60,Premises!$A$10:$F$10,IF(INDEX(Settings[],MATCH(3001,Settings[ID],0),2)="B",Premises!$A$33:$F$33,Premises!$A$31:$F$31))/100)</f>
        <v>0</v>
      </c>
      <c r="DT60" s="633" cm="1">
        <f t="array" ref="DT60">IF($CB60=0,0,$DP60*_xlfn.XLOOKUP($CB60,Premises!$A$10:$F$10,IF(INDEX(Settings[],MATCH(3002,Settings[ID],0),2)="B",Premises!$A$36:$F$36,Premises!$A$34:$F$34))/100)</f>
        <v>0</v>
      </c>
      <c r="DU60" s="633">
        <f>IF($CB60=0,0,SUM($DP60:$DT60)*_xlfn.XLOOKUP($CB60,Premises!$A$10:$F$10,Premises!$A$37:$F$37)/100)</f>
        <v>0</v>
      </c>
      <c r="DV60" s="932">
        <f t="shared" si="187"/>
        <v>0</v>
      </c>
      <c r="DW60" s="929">
        <f>IF($CC60=0,0,$DV60*_xlfn.XLOOKUP($CC60,Premises!$A$10:$F$10,Premises!$A$30:$F$30)/100)</f>
        <v>0</v>
      </c>
      <c r="DX60" s="633">
        <f>IFERROR(SUM($DV60:$DW60)*IF(INDEX(Premises!$A$42:$F$42,1,MATCH($CC60,Premises!$A$10:$F$10,0))&gt;0,INDEX(Premises!$A$42:$F$42,1,MATCH($CC60,Premises!$A$10:$F$10,0))%,$CP60),0)</f>
        <v>0</v>
      </c>
      <c r="DY60" s="633" cm="1">
        <f t="array" ref="DY60">IF($CC60=0,0,SUM($DV60:$DX60)*_xlfn.XLOOKUP($CC60,Premises!$A$10:$F$10,IF(INDEX(Settings[],MATCH(3001,Settings[ID],0),2)="B",Premises!$A$33:$F$33,Premises!$A$31:$F$31))/100)</f>
        <v>0</v>
      </c>
      <c r="DZ60" s="633" cm="1">
        <f t="array" ref="DZ60">IF($CC60=0,0,$DV60*_xlfn.XLOOKUP($CC60,Premises!$A$10:$F$10,IF(INDEX(Settings[],MATCH(3002,Settings[ID],0),2)="B",Premises!$A$36:$F$36,Premises!$A$34:$F$34))/100)</f>
        <v>0</v>
      </c>
      <c r="EA60" s="633">
        <f>IF($CC60=0,0,SUM($DV60:$DZ60)*_xlfn.XLOOKUP($CC60,Premises!$A$10:$F$10,Premises!$A$37:$F$37)/100)</f>
        <v>0</v>
      </c>
      <c r="EB60" s="634">
        <f t="shared" si="188"/>
        <v>0</v>
      </c>
      <c r="EC60" s="783"/>
      <c r="ED60" s="1082"/>
      <c r="EE60" s="633"/>
      <c r="EF60" s="1088"/>
      <c r="EG60" s="1086"/>
      <c r="EH60" s="1086"/>
      <c r="EI60" s="1086"/>
      <c r="EJ60" s="1086"/>
      <c r="EK60" s="1086"/>
      <c r="EL60" s="1086"/>
      <c r="EM60" s="1088"/>
      <c r="EN60" s="1086"/>
      <c r="EO60" s="1086"/>
      <c r="EP60" s="1086"/>
      <c r="EQ60" s="1086"/>
      <c r="ER60" s="1088"/>
      <c r="ES60" s="1086"/>
      <c r="ET60" s="1086"/>
      <c r="EU60" s="1086"/>
      <c r="EV60" s="1086"/>
      <c r="EW60" s="1086"/>
      <c r="EX60" s="1089"/>
      <c r="EY60" s="2"/>
      <c r="EZ60" s="2"/>
      <c r="FA60" s="2"/>
      <c r="FB60" s="2"/>
      <c r="FC60" s="2"/>
      <c r="FD60" s="2"/>
      <c r="FE60" s="2"/>
      <c r="FF60" s="2"/>
      <c r="FG60" s="2"/>
      <c r="FH60" s="2"/>
      <c r="FI60" s="2"/>
      <c r="FJ60" s="403"/>
      <c r="FK60" s="404"/>
      <c r="FL60" s="405"/>
      <c r="FM60" s="948"/>
    </row>
    <row r="61" spans="1:169" s="13" customFormat="1" ht="12.75" customHeight="1">
      <c r="A61" s="215"/>
      <c r="B61" s="370"/>
      <c r="C61" s="371"/>
      <c r="D61" s="372" cm="1">
        <f t="array" ref="D61">IF($CG61=0,0,INDEX(BOM!$N:$N,$CG61))</f>
        <v>0</v>
      </c>
      <c r="E61" s="627" t="s">
        <v>664</v>
      </c>
      <c r="F61" s="627" t="s">
        <v>664</v>
      </c>
      <c r="G61" s="627" t="s">
        <v>664</v>
      </c>
      <c r="H61" s="627" t="s">
        <v>664</v>
      </c>
      <c r="I61" s="627" t="s">
        <v>664</v>
      </c>
      <c r="J61" s="627" t="s">
        <v>664</v>
      </c>
      <c r="K61" s="627" t="s">
        <v>664</v>
      </c>
      <c r="L61" s="627" t="s">
        <v>664</v>
      </c>
      <c r="M61" s="627" t="s">
        <v>664</v>
      </c>
      <c r="N61" s="627" t="s">
        <v>664</v>
      </c>
      <c r="O61" s="627" t="s">
        <v>664</v>
      </c>
      <c r="P61" s="627" t="s">
        <v>664</v>
      </c>
      <c r="Q61" s="627" t="s">
        <v>664</v>
      </c>
      <c r="R61" s="627" t="s">
        <v>664</v>
      </c>
      <c r="S61" s="627" t="s">
        <v>664</v>
      </c>
      <c r="T61" s="627" t="s">
        <v>664</v>
      </c>
      <c r="U61" s="627" t="s">
        <v>664</v>
      </c>
      <c r="V61" s="627" t="s">
        <v>664</v>
      </c>
      <c r="W61" s="627" t="s">
        <v>664</v>
      </c>
      <c r="X61" s="627" t="s">
        <v>664</v>
      </c>
      <c r="Y61" s="627" t="s">
        <v>664</v>
      </c>
      <c r="Z61" s="627" t="s">
        <v>664</v>
      </c>
      <c r="AA61" s="627" t="s">
        <v>664</v>
      </c>
      <c r="AB61" s="627" t="s">
        <v>664</v>
      </c>
      <c r="AC61" s="627" t="s">
        <v>664</v>
      </c>
      <c r="AD61" s="627" t="s">
        <v>664</v>
      </c>
      <c r="AE61" s="627" t="s">
        <v>664</v>
      </c>
      <c r="AF61" s="627" t="s">
        <v>664</v>
      </c>
      <c r="AG61" s="627" t="s">
        <v>664</v>
      </c>
      <c r="AH61" s="627" t="s">
        <v>664</v>
      </c>
      <c r="AI61" s="627" t="s">
        <v>664</v>
      </c>
      <c r="AJ61" s="627" t="s">
        <v>664</v>
      </c>
      <c r="AK61" s="627" t="s">
        <v>664</v>
      </c>
      <c r="AL61" s="627" t="s">
        <v>664</v>
      </c>
      <c r="AM61" s="627" t="s">
        <v>664</v>
      </c>
      <c r="AN61" s="627" t="s">
        <v>664</v>
      </c>
      <c r="AO61" s="627" t="s">
        <v>664</v>
      </c>
      <c r="AP61" s="627" t="s">
        <v>664</v>
      </c>
      <c r="AQ61" s="627" t="s">
        <v>664</v>
      </c>
      <c r="AR61" s="627" t="s">
        <v>664</v>
      </c>
      <c r="AS61" s="627" t="s">
        <v>664</v>
      </c>
      <c r="AT61" s="627" t="s">
        <v>664</v>
      </c>
      <c r="AU61" s="627" t="s">
        <v>664</v>
      </c>
      <c r="AV61" s="627" t="s">
        <v>664</v>
      </c>
      <c r="AW61" s="627" t="s">
        <v>664</v>
      </c>
      <c r="AX61" s="627" t="s">
        <v>664</v>
      </c>
      <c r="AY61" s="627" t="s">
        <v>664</v>
      </c>
      <c r="AZ61" s="627" t="s">
        <v>664</v>
      </c>
      <c r="BA61" s="627" t="s">
        <v>664</v>
      </c>
      <c r="BB61" s="627" t="s">
        <v>664</v>
      </c>
      <c r="BC61" s="627" t="s">
        <v>664</v>
      </c>
      <c r="BD61" s="627" t="s">
        <v>664</v>
      </c>
      <c r="BE61" s="627" t="s">
        <v>664</v>
      </c>
      <c r="BF61" s="627" t="s">
        <v>664</v>
      </c>
      <c r="BG61" s="627" t="s">
        <v>664</v>
      </c>
      <c r="BH61" s="627" t="s">
        <v>664</v>
      </c>
      <c r="BI61" s="627" t="s">
        <v>664</v>
      </c>
      <c r="BJ61" s="627" t="s">
        <v>664</v>
      </c>
      <c r="BK61" s="627" t="s">
        <v>664</v>
      </c>
      <c r="BL61" s="627" t="s">
        <v>664</v>
      </c>
      <c r="BM61" s="627" t="s">
        <v>664</v>
      </c>
      <c r="BN61" s="627" t="s">
        <v>664</v>
      </c>
      <c r="BO61" s="627" t="s">
        <v>664</v>
      </c>
      <c r="BP61" s="627" t="s">
        <v>664</v>
      </c>
      <c r="BQ61" s="627" t="s">
        <v>664</v>
      </c>
      <c r="BR61" s="627" t="s">
        <v>664</v>
      </c>
      <c r="BS61" s="898">
        <f>SUM(INDEX($BS:$BS,ROW()+1):INDEX($BS:$BS,$CE61))</f>
        <v>0</v>
      </c>
      <c r="BT61" s="898">
        <f>SUM(INDEX($BT:$BT,ROW()+1):INDEX($BT:$BT,$CE61))</f>
        <v>0</v>
      </c>
      <c r="BU61" s="627" t="s">
        <v>664</v>
      </c>
      <c r="BV61" s="626">
        <f>SUMPRODUCT($BS61:INDEX($BS:$BS,$CE61),$BU61:INDEX($BU:$BU,$CE61))</f>
        <v>0</v>
      </c>
      <c r="BW61" s="373">
        <f>$D61*$BV61</f>
        <v>0</v>
      </c>
      <c r="BX61" s="794" cm="1">
        <f t="array" ref="BX61">IF($CG61=0,0,IF(INDEX(BOM!$P:$P,$CG61)=0,0,
SUMPRODUCT($BW61:INDEX($BW:$BW,IFERROR(ROW()+MATCH($CL61,INDEX($CL:$CL,ROW()+1):INDEX($CL:$CL,MAX($CE:$CE)),0)-1,MAX($CE:$CE))),
($CL61:INDEX($CL:$CL,IFERROR(ROW()+MATCH($CL61,INDEX($CL:$CL,ROW()+1):INDEX($CL:$CL,MAX($CE:$CE)),0)-1,MAX($CE:$CE)))&gt;=$CL61)*1)
))</f>
        <v>0</v>
      </c>
      <c r="BY61" s="374"/>
      <c r="BZ61" s="375" cm="1">
        <f t="array" ref="BZ61">IF($CG61=0,0,INDEX(BOM!$M:$M,$CG61))</f>
        <v>0</v>
      </c>
      <c r="CA61" s="263">
        <f>IF($BZ61&gt;0,VALUE(LEFT($BZ61,IF(ISERROR(FIND("-",$BZ61)),LEN($BZ61),FIND("-",$BZ61)-1))),INDEX($BZ$1:BZ61,MATCH("",$A$1:A61,-1)))</f>
        <v>1</v>
      </c>
      <c r="CB61" s="263">
        <f>IF(LEN($BZ61)-LEN(SUBSTITUTE($BZ61,"-",))&gt;1,
VALUE(MID($BZ61,FIND("-",$BZ61)+1,FIND("-",$BZ61,FIND("-",$BZ61)+1)-FIND("-",$BZ61)-1)),0)</f>
        <v>0</v>
      </c>
      <c r="CC61" s="263">
        <f>IF(NOT(ISERROR(FIND("-",BZ61))),
VALUE(RIGHT($BZ61,LEN($BZ61)-IF(LEN($BZ61)-LEN(SUBSTITUTE($BZ61,"-",""))=1,FIND("-",$BZ61),FIND("-",$BZ61,FIND("-",$BZ61)+1)))),0)</f>
        <v>0</v>
      </c>
      <c r="CD61" s="376"/>
      <c r="CE61" s="263" cm="1">
        <f t="array" ref="CE61">ROW()+MATCH(TRUE,_xlfn.ISFORMULA(INDEX(BW:BW,ROW()+1):INDEX(BW:BW,ROW()+MaxNumberOfRowsPerBlock)),0)-1</f>
        <v>65</v>
      </c>
      <c r="CF61" s="377" cm="1">
        <f t="array" ref="CF61">IF(CL61=0,-1,IF(CL61=1,7,MAX(IF($CL$1:$CL61=CL61-1,ROW($CL$1:$CL61),0))))</f>
        <v>-1</v>
      </c>
      <c r="CG61" s="376">
        <f>IFERROR(MATCH($B61,BOM!$A:$A,0),0)</f>
        <v>0</v>
      </c>
      <c r="CH61" s="263">
        <f>MATCH($CA61,Premises!$A$10:$F$10,0)</f>
        <v>4</v>
      </c>
      <c r="CI61" s="263"/>
      <c r="CJ61" s="377"/>
      <c r="CK61" s="263"/>
      <c r="CL61" s="263" cm="1">
        <f t="array" ref="CL61">IF($CG61=0,0,INDEX(BOM!$C:$C,$CG61))</f>
        <v>0</v>
      </c>
      <c r="CM61" s="378" cm="1">
        <f t="array" ref="CM61">IF($CG61=0,0,IF(OR($CF61&lt;0,AND(INDEX($CB:$CB,$CF61)=$CB61,INDEX($CC:$CC,$CF61)=$CC61)),0,IF(INDEX(BOM!$P:$P,$CG61)=0,$BT61,(SUMIF($CA61:INDEX($CA:$CA,IFERROR(ROW()+MATCH($CL61,INDEX($CL:$CL,ROW()+1):INDEX($CL:$CL,MAX($CE:$CE)),0)-1,MAX($CE:$CE))),$CA61,$BT61:INDEX($BT:$BT,IFERROR(ROW()+MATCH($CL61,INDEX($CL:$CL,ROW()+1):INDEX($CL:$CL,MAX($CE:$CE)),0)-1,MAX($CE:$CE))))+SUMIF($CB61:INDEX($CB:$CB,IFERROR(ROW()+MATCH($CL61,INDEX($CL:$CL,ROW()+1):INDEX($CL:$CL,MAX($CE:$CE)),0)-1,MAX($CE:$CE))),$CA61,$BT61:INDEX($BT:$BT,IFERROR(ROW()+MATCH($CL61,INDEX($CL:$CL,ROW()+1):INDEX($CL:$CL,MAX($CE:$CE)),0)-1,MAX($CE:$CE)))))/2)))</f>
        <v>0</v>
      </c>
      <c r="CN61" s="379" cm="1">
        <f t="array" ref="CN61">IFERROR(IF($CB61=0,0,IF($CM61=0,INDEX($CN$1:$CN61,$CF61),INDEX(IF($CM61&lt;0.2,Premises!$A$43:$F$43,IF($CM61&lt;5,Premises!$A$46:$F$46,Premises!$A$49:$F$49)),MATCH($CB61,Premises!$A$10:$F$10,0))/($CM61*INDEX(Premises!$A$13:$F$13,MATCH($CB61,Premises!$A$10:$F$10,0)))+INDEX(IF($CM61&lt;0.2,Premises!$A$44:$F$44,IF($CM61&lt;5,Premises!$A$47:$F$47,Premises!$A$50:$F$50)),MATCH($CB61,Premises!$A$10:$F$10,0))+INDEX(IF($CM61&lt;0.2,Premises!$A$45:$F$45,IF($CM61&lt;5,Premises!$A$48:$F$48,Premises!$A$51:$F$51)),MATCH($CB61,Premises!$A$10:$F$10,0))/$CM61)),0.01)</f>
        <v>0</v>
      </c>
      <c r="CO61" s="378" cm="1">
        <f t="array" ref="CO61">IF($CG61=0,0,IF(INDEX($CC:$CC,$CF61)=$CC61,0,$CM61*(1+IFERROR(INDEX(Premises!$A$52:$F$52,1,MATCH($CB61,Premises!$A$10:$F$10,0)),0)+$CN61)))</f>
        <v>0</v>
      </c>
      <c r="CP61" s="379" cm="1">
        <f t="array" ref="CP61">IFERROR(IF($CC61=0,0,IF($CO61=0,INDEX($CP$1:$CP61,$CF61),INDEX(IF($CO61&lt;0.2,Premises!$A$43:$F$43,IF($CO61&lt;5,Premises!$A$46:$F$46,Premises!$A$49:$F$49)),MATCH($CC61,Premises!$A$10:$F$10,0))/($CO61*INDEX(Premises!$A$13:$F$13,MATCH($CC61,Premises!$A$10:$F$10,0)))+INDEX(IF($CO61&lt;0.2,Premises!$A$44:$F$44,IF($CO61&lt;5,Premises!$A$47:$F$47,Premises!$A$50:$F$50)),MATCH($CC61,Premises!$A$10:$F$10,0))+INDEX(IF($CO61&lt;0.2,Premises!$A$45:$F$45,IF($CO61&lt;5,Premises!$A$48:$F$48,Premises!$A$51:$F$51)),MATCH($CC61,Premises!$A$10:$F$10,0))/$CO61)),0.01)</f>
        <v>0</v>
      </c>
      <c r="CQ61" s="380" cm="1">
        <f t="array" ref="CQ61">IF(AND($CM61=0,$CO61=0),0,INDEX(BOM!$O:$O,$CG61))</f>
        <v>0</v>
      </c>
      <c r="CR61" s="381" cm="1">
        <f t="array" ref="CR61">IF(OR($CM61=0,$CN61=0),0,ACOS(COS(RADIANS(90-INDEX(Premises!$A$66:$F$66,1,$CH61)))*COS(RADIANS(90-INDEX(Premises!$A$66:$F$66,1,MATCH($CB61,Premises!$A$10:$F$10,0))))
+SIN(RADIANS(90-INDEX(Premises!$A$66:$F$66,1,$CH61)))*SIN(RADIANS(90-INDEX(Premises!$A$66:$F$66,1,MATCH($CB61,Premises!$A$10:$F$10,0)))) * COS(RADIANS(INDEX(Premises!$A$67:$F$67,1,$CH61)-INDEX(Premises!$A$67:$F$67,1,MATCH($CB61,Premises!$A$10:$F$10,0)))))*6371)</f>
        <v>0</v>
      </c>
      <c r="CS61" s="381" cm="1">
        <f t="array" ref="CS61">IF(OR($CO61=0,$CP61=0),0,
IF($CR61=0,ACOS(COS(RADIANS(90-INDEX(Premises!$A$66:$F$66,1,$CH61)))*COS(RADIANS(90-INDEX(Premises!$A$66:$F$66,1,MATCH($CC61,Premises!$A$10:$F$10,0))))
+SIN(RADIANS(90-INDEX(Premises!$A$66:$F$66,1,$CH61)))*SIN(RADIANS(90-INDEX(Premises!$A$66:$F$66,1,MATCH($CC61,Premises!$A$10:$F$10,0))))*COS(RADIANS(INDEX(Premises!$A$67:$F$67,1,$CH61)-INDEX(Premises!$A$67:$F$67,1,MATCH($CC61,Premises!$A$10:$F$10,0)))))*6371,
ACOS(COS(RADIANS(90-INDEX(Premises!$A$66:$F$66,1,MATCH($CB61,Premises!$A$10:$F$10,0))))*COS(RADIANS(90-INDEX(Premises!$A$66:$F$66,1,MATCH($CC61,Premises!$A$10:$F$10,0))))
+SIN(RADIANS(90-INDEX(Premises!$A$66:$F$66,1,MATCH($CB61,Premises!$A$10:$F$10,0))))*SIN(RADIANS(90-INDEX(Premises!$A$66:$F$66,1,MATCH($CC61,Premises!$A$10:$F$10,0))))*COS(RADIANS(INDEX(Premises!$A$67:$F$67,1,MATCH($CB61,Premises!$A$10:$F$10,0))-INDEX(Premises!$A$67:$F$67,1,MATCH($CC61,Premises!$A$10:$F$10,0)))))*6371))</f>
        <v>0</v>
      </c>
      <c r="CT61" s="947"/>
      <c r="CU61" s="2"/>
      <c r="CV61" s="382">
        <f>SUM(INDEX(CV:CV,ROW()+1):INDEX(CV:CV,$CE61))</f>
        <v>0</v>
      </c>
      <c r="CW61" s="383">
        <f>SUM(INDEX(CW:CW,ROW()+1):INDEX(CW:CW,$CE61))</f>
        <v>0</v>
      </c>
      <c r="CX61" s="383">
        <f>SUM(INDEX(CX:CX,ROW()+1):INDEX(CX:CX,$CE61))</f>
        <v>0</v>
      </c>
      <c r="CY61" s="383">
        <f>SUM(INDEX(CY:CY,ROW()+1):INDEX(CY:CY,$CE61))</f>
        <v>0</v>
      </c>
      <c r="CZ61" s="383">
        <f>SUM(INDEX(CZ:CZ,ROW()+1):INDEX(CZ:CZ,$CE61))</f>
        <v>0</v>
      </c>
      <c r="DA61" s="383">
        <f>SUM(INDEX(DA:DA,ROW()+1):INDEX(DA:DA,$CE61))</f>
        <v>0</v>
      </c>
      <c r="DB61" s="383">
        <f>SUM(INDEX(DB:DB,ROW()+1):INDEX(DB:DB,$CE61))</f>
        <v>0</v>
      </c>
      <c r="DC61" s="383">
        <f>SUM(INDEX(DC:DC,ROW()+1):INDEX(DC:DC,$CE61))</f>
        <v>0</v>
      </c>
      <c r="DD61" s="383">
        <f>SUM(INDEX(DD:DD,ROW()+1):INDEX(DD:DD,$CE61))</f>
        <v>0</v>
      </c>
      <c r="DE61" s="383">
        <f>SUM(INDEX(DE:DE,ROW()+1):INDEX(DE:DE,$CE61))</f>
        <v>0</v>
      </c>
      <c r="DF61" s="383">
        <f>SUM(INDEX(DF:DF,ROW()+1):INDEX(DF:DF,$CE61))</f>
        <v>0</v>
      </c>
      <c r="DG61" s="383">
        <f>SUM(INDEX(DG:DG,ROW()+1):INDEX(DG:DG,$CE61))</f>
        <v>0</v>
      </c>
      <c r="DH61" s="383">
        <f>SUM(INDEX(DH:DH,ROW()+1):INDEX(DH:DH,$CE61))</f>
        <v>0</v>
      </c>
      <c r="DI61" s="383">
        <f>SUM(INDEX(DI:DI,ROW()+1):INDEX(DI:DI,$CE61))</f>
        <v>0</v>
      </c>
      <c r="DJ61" s="383">
        <f>SUM(INDEX(DJ:DJ,ROW()+1):INDEX(DJ:DJ,$CE61))</f>
        <v>0</v>
      </c>
      <c r="DK61" s="383">
        <f>SUM(INDEX(DK:DK,ROW()+1):INDEX(DK:DK,$CE61))</f>
        <v>0</v>
      </c>
      <c r="DL61" s="383">
        <f>SUM(INDEX(DL:DL,ROW()+1):INDEX(DL:DL,$CE61))</f>
        <v>0</v>
      </c>
      <c r="DM61" s="383">
        <f>SUM(INDEX(DM:DM,ROW()+1):INDEX(DM:DM,$CE61))</f>
        <v>0</v>
      </c>
      <c r="DN61" s="383">
        <f>SUM(INDEX(DN:DN,ROW()+1):INDEX(DN:DN,$CE61))</f>
        <v>0</v>
      </c>
      <c r="DO61" s="383">
        <f>SUM(INDEX(DO:DO,ROW()+1):INDEX(DO:DO,$CE61))</f>
        <v>0</v>
      </c>
      <c r="DP61" s="383">
        <f>SUM(INDEX(DP:DP,ROW()+1):INDEX(DP:DP,$CE61))</f>
        <v>0</v>
      </c>
      <c r="DQ61" s="383">
        <f>SUM(INDEX(DQ:DQ,ROW()+1):INDEX(DQ:DQ,$CE61))</f>
        <v>0</v>
      </c>
      <c r="DR61" s="383">
        <f>SUM(INDEX(DR:DR,ROW()+1):INDEX(DR:DR,$CE61))</f>
        <v>0</v>
      </c>
      <c r="DS61" s="383">
        <f>SUM(INDEX(DS:DS,ROW()+1):INDEX(DS:DS,$CE61))</f>
        <v>0</v>
      </c>
      <c r="DT61" s="383">
        <f>SUM(INDEX(DT:DT,ROW()+1):INDEX(DT:DT,$CE61))</f>
        <v>0</v>
      </c>
      <c r="DU61" s="383">
        <f>SUM(INDEX(DU:DU,ROW()+1):INDEX(DU:DU,$CE61))</f>
        <v>0</v>
      </c>
      <c r="DV61" s="383">
        <f>SUM(INDEX(DV:DV,ROW()+1):INDEX(DV:DV,$CE61))</f>
        <v>0</v>
      </c>
      <c r="DW61" s="383">
        <f>SUM(INDEX(DW:DW,ROW()+1):INDEX(DW:DW,$CE61))</f>
        <v>0</v>
      </c>
      <c r="DX61" s="383">
        <f>SUM(INDEX(DX:DX,ROW()+1):INDEX(DX:DX,$CE61))</f>
        <v>0</v>
      </c>
      <c r="DY61" s="383">
        <f>SUM(INDEX(DY:DY,ROW()+1):INDEX(DY:DY,$CE61))</f>
        <v>0</v>
      </c>
      <c r="DZ61" s="383">
        <f>SUM(INDEX(DZ:DZ,ROW()+1):INDEX(DZ:DZ,$CE61))</f>
        <v>0</v>
      </c>
      <c r="EA61" s="383">
        <f>SUM(INDEX(EA:EA,ROW()+1):INDEX(EA:EA,$CE61))</f>
        <v>0</v>
      </c>
      <c r="EB61" s="384">
        <f>SUM(INDEX(EB:EB,ROW()+1):INDEX(EB:EB,$CE61))</f>
        <v>0</v>
      </c>
      <c r="EC61" s="2"/>
      <c r="ED61" s="383"/>
      <c r="EE61" s="383"/>
      <c r="EF61" s="1090"/>
      <c r="EG61" s="1090"/>
      <c r="EH61" s="1090"/>
      <c r="EI61" s="1090"/>
      <c r="EJ61" s="1090"/>
      <c r="EK61" s="1090"/>
      <c r="EL61" s="1090"/>
      <c r="EM61" s="1090"/>
      <c r="EN61" s="1090"/>
      <c r="EO61" s="1090"/>
      <c r="EP61" s="1090"/>
      <c r="EQ61" s="1090"/>
      <c r="ER61" s="1090"/>
      <c r="ES61" s="1090"/>
      <c r="ET61" s="1090"/>
      <c r="EU61" s="1090"/>
      <c r="EV61" s="1090"/>
      <c r="EW61" s="1090"/>
      <c r="EX61" s="1091"/>
      <c r="EY61" s="2"/>
      <c r="EZ61" s="2"/>
      <c r="FA61" s="2"/>
      <c r="FB61" s="2"/>
      <c r="FC61" s="2"/>
      <c r="FD61" s="2"/>
      <c r="FE61" s="2"/>
      <c r="FF61" s="2"/>
      <c r="FG61" s="2"/>
      <c r="FH61" s="2"/>
      <c r="FI61" s="2"/>
      <c r="FJ61" s="382"/>
      <c r="FK61" s="383"/>
      <c r="FL61" s="384"/>
      <c r="FM61" s="948"/>
    </row>
    <row r="62" spans="1:169" s="13" customFormat="1" ht="12.75" customHeight="1">
      <c r="A62" s="215"/>
      <c r="B62" s="385"/>
      <c r="C62" s="386"/>
      <c r="D62" s="629"/>
      <c r="E62" s="387"/>
      <c r="F62" s="388"/>
      <c r="G62" s="388"/>
      <c r="H62" s="388"/>
      <c r="I62" s="620" cm="1">
        <f t="array" ref="I62">IF($CI62=0,0,IFERROR(INDEX(MHR[],$CI62,MATCH($CA62,MHR!$B$4:$AY$4,0)),0))</f>
        <v>0</v>
      </c>
      <c r="J62" s="617">
        <f>IF(COUNTBLANK($E62:$H62),0,IFERROR($F62/$H62/IF($G62="s",3600,IF($G62="min",60,IF($G62="h",1,0)))*I62,0))</f>
        <v>0</v>
      </c>
      <c r="K62" s="389"/>
      <c r="L62" s="390"/>
      <c r="M62" s="849"/>
      <c r="N62" s="390"/>
      <c r="O62" s="388"/>
      <c r="P62" s="628" cm="1">
        <f t="array" ref="P62">IF($K62=0,0,IFERROR(ROUNDUP(IF(ISNUMBER($K62),$K62,INDEX($D$1:$D62,$CD62)*INDEX(Premises!$A$13:$F$13,1,$CH62)/IF(OR($K62="T",$K62="D"),250,IF($K62="W",50,IF($K62="M",12,IF(OR($K62="HJ",$K62="HY"),2,IF(OR($K62="J",$K62="Y"),1,0)))))),0),0))</f>
        <v>0</v>
      </c>
      <c r="Q62" s="620" cm="1">
        <f t="array" ref="Q62">IF($K62=0,0,IFERROR(INDEX(Premises!$A$22:$F$22,1,$CH62)*100/INDEX(Premises!$A$16:$F$16,1,$CH62),0))</f>
        <v>0</v>
      </c>
      <c r="R62" s="617">
        <f>IF($P62=0,0,IFERROR(($L62/60*($I62+$Q62*$M62)+($N62/60*($Q62*$O62)))/$P62,0))</f>
        <v>0</v>
      </c>
      <c r="S62" s="391"/>
      <c r="T62" s="392"/>
      <c r="U62" s="620" cm="1">
        <f t="array" ref="U62">IF(COUNTBLANK($S62:$T62),0,
IF(AND(INDEX(MHR[Schichtmodell],$CI62)&lt;&gt;0,INDEX(MHR[Schichtmodell],$CI62)&lt;&gt;INDEX(Premises!$A$20:$F$20,1,$CH62)),ExchangeRate*
IF(OR($T62="M",$T62="U"),IF(INDEX(MHR[Schichtmodell],$CI62)=1,INDEX(LOC[M1S],INDEX(Premises!$A$18:$F$18,1,$CH62+1)),IF(INDEX(MHR[Schichtmodell],$CI62)=2,INDEX(LOC[M2S],INDEX(Premises!$A$18:$F$18,1,$CH62+1),IF(INDEX(MHR[Schichtmodell],$CI62)=3,INDEX(LOC[M3S],INDEX(Premises!$A$18:$F$18,1,$CH62+1)),0)))),
IF(INDEX(MHR[Schichtmodell],$CI62)=1,INDEX(LOC[F1S],INDEX(Premises!$A$18:$F$18,1,$CH62+1)),IF(INDEX(MHR[Schichtmodell],$CI62)=2,INDEX(LOC[F2S],INDEX(Premises!$A$18:$F$18,1,$CH62+1)),IF(INDEX(MHR[Schichtmodell],$CI62)=3,INDEX(LOC[F3S],INDEX(Premises!$A$18:$F$18,1,$CH62+1)),0)))),
IF(OR($T62="M",$T62="U"),INDEX(Premises!$A$21:$F$21,1,$CH62),
IF(OR($T62="F",$T62="S"),INDEX(Premises!$A$22:$F$22,1,$CH62),0)))*100/INDEX(Premises!$A$16:$F$16,1,$CH62))</f>
        <v>0</v>
      </c>
      <c r="V62" s="614">
        <f>IF($U62=0,0,IFERROR($F62/$H62/IF($G62="s",3600,IF($G62="min",60,IF($G62="h",1,0)))*$S62*$U62,0))</f>
        <v>0</v>
      </c>
      <c r="W62" s="393"/>
      <c r="X62" s="386"/>
      <c r="Y62" s="394"/>
      <c r="Z62" s="395"/>
      <c r="AA62" s="611">
        <f>IFERROR($X62*$Z62/$Y62/MAX(1,$H62),0)</f>
        <v>0</v>
      </c>
      <c r="AB62" s="393"/>
      <c r="AC62" s="386"/>
      <c r="AD62" s="394"/>
      <c r="AE62" s="396"/>
      <c r="AF62" s="611">
        <f>IFERROR($AC62*$AE62/$AD62,0)</f>
        <v>0</v>
      </c>
      <c r="AG62" s="612" cm="1">
        <f t="array" ref="AG62">IF(($J62+$V62+$AF62)=0,0,INDEX(Premises!$A$30:$F$30,1,$CH62)/100)</f>
        <v>0</v>
      </c>
      <c r="AH62" s="397"/>
      <c r="AI62" s="398"/>
      <c r="AJ62" s="399"/>
      <c r="AK62" s="613">
        <f>IF(COUNTBLANK($AH62:$AI62),0,$AH62*$AI62*$AG62)</f>
        <v>0</v>
      </c>
      <c r="AL62" s="614">
        <f>($AK62+$AJ62*$AG62*(1-$AH62)+($J62+$V62+$AF62)*$AG62*(1-$AH62))</f>
        <v>0</v>
      </c>
      <c r="AM62" s="615" cm="1">
        <f t="array" ref="AM62">IF($CI62=0,0,IFERROR(INDEX(MHR[],$CI62,MATCH($CA62,MHR!$B$4:$AY$4,0)+11),0))</f>
        <v>0</v>
      </c>
      <c r="AN62" s="616" cm="1">
        <f t="array" ref="AN62">IF(($J62+$V62)=0,0,IFERROR(IF(INDEX(Premises!$A$41:$F$41,1,$CH62)&lt;&gt;0,INDEX(Premises!$A$41:$F$41,1,$CH62)/100,(IFERROR(($J62/$I62)*$AM62,0)/($V62+$J62+$R62+$AL62))),0))</f>
        <v>0</v>
      </c>
      <c r="AO62" s="617">
        <f>IF(($J62+$V62)=0,0,IF(IFERROR(($J62+$R62+$V62+$AL62)*$AN62,0)&lt;&gt;IFERROR(($J62/$I62)*$AM62,0),($J62+$R62+$V62+$AL62)*$AN62,IFERROR(($J62/$I62)*$AM62,0)))</f>
        <v>0</v>
      </c>
      <c r="AP62" s="618">
        <f>$V62+$J62+$R62+$AA62+$AF62+$AL62+$AO62</f>
        <v>0</v>
      </c>
      <c r="AQ62" s="393"/>
      <c r="AR62" s="392"/>
      <c r="AS62" s="619" cm="1">
        <f t="array" ref="AS62">IF($CJ62=0,0,IFERROR(INDEX(MAT[Einheit],$CJ62,1),0))</f>
        <v>0</v>
      </c>
      <c r="AT62" s="620" cm="1">
        <f t="array" ref="AT62">IF($CJ62=0,0,IFERROR(INDEX(MAT[Preis],$CJ62,1),0))</f>
        <v>0</v>
      </c>
      <c r="AU62" s="621">
        <f>$AR62*$AT62</f>
        <v>0</v>
      </c>
      <c r="AV62" s="622" cm="1">
        <f t="array" ref="AV62">IF($AU62&lt;=0,0,INDEX(Premises!$A$30:$F$30,1,$CH62)/100)</f>
        <v>0</v>
      </c>
      <c r="AW62" s="392"/>
      <c r="AX62" s="614">
        <f>IF($AV62=0,0,($AU62+$AW62)*$AV62)</f>
        <v>0</v>
      </c>
      <c r="AY62" s="623" cm="1">
        <f t="array" ref="AY62">IF($AT62&lt;=0,0,IFERROR(IF(INDEX(Premises!$A$42:$F$42,1,$CH62)&lt;&gt;0,INDEX(Premises!$A$42:$F$42,1,$CH62)/100,(INDEX(MAT[],$CJ62,MATCH($CA62,MAT!$B$4:$AE$4,0))/($AR62*$CK62*INDEX(Premises!$A$13:$F$13,1,$CH62))+INDEX(MAT[],$CJ62,MATCH($CA62,MAT!$B$4:$AE$4,0)+7))/$AT62),0))</f>
        <v>0</v>
      </c>
      <c r="AZ62" s="614">
        <f>IF($AY62=0,0,($AU62+$AX62)*$AY62)</f>
        <v>0</v>
      </c>
      <c r="BA62" s="618">
        <f>$AU62+$AX62+$AZ62</f>
        <v>0</v>
      </c>
      <c r="BB62" s="618">
        <f>$AP62+$BA62</f>
        <v>0</v>
      </c>
      <c r="BC62" s="622" cm="1">
        <f t="array" ref="BC62">IF($BB62&lt;=0,0,IF(BC$2=-1,0,INDEX(Premises!$A$32:$F$32,1,$CH62)/100))</f>
        <v>0</v>
      </c>
      <c r="BD62" s="614">
        <f>IF($AP62&lt;=0,0,($AP62-$AA62-$AL62)*$BC62)</f>
        <v>0</v>
      </c>
      <c r="BE62" s="622" cm="1">
        <f t="array" ref="BE62">IF($BB62&lt;=0,0,IF(BE$2=-1,0,INDEX(Premises!$A$33:$F$33,1,$CH62)/100))</f>
        <v>0</v>
      </c>
      <c r="BF62" s="614">
        <f>IF($BA62&lt;=0,0,$BA62*$BE62)</f>
        <v>0</v>
      </c>
      <c r="BG62" s="622" cm="1">
        <f t="array" ref="BG62">IF($BB62&lt;=0,0,IF(BG$2=-1,0,INDEX(Premises!$A$31:$F$31,1,$CH62)/100))</f>
        <v>0</v>
      </c>
      <c r="BH62" s="614">
        <f>(($AP62-$AA62-$AL62)+$BA62)*$BG62</f>
        <v>0</v>
      </c>
      <c r="BI62" s="618">
        <f>$BB62+$BD62+$BF62+$BH62</f>
        <v>0</v>
      </c>
      <c r="BJ62" s="622" cm="1">
        <f t="array" ref="BJ62">IF($BB62&lt;=0,0,IF(BJ$2=-1,0,INDEX(Premises!$A$35:$F$35,1,$CH62)/100))</f>
        <v>0</v>
      </c>
      <c r="BK62" s="614">
        <f>IF($AP62&lt;=0,0,($AP62-$AL62-$AA62)*$BJ62)</f>
        <v>0</v>
      </c>
      <c r="BL62" s="622" cm="1">
        <f t="array" ref="BL62">IF($BB62&lt;=0,0,IF(BL$2=-1,0,INDEX(Premises!$A$36:$F$36,1,$CH62)/100))</f>
        <v>0</v>
      </c>
      <c r="BM62" s="614">
        <f>IF($AU62&lt;=0,0,($AR62*$AT62)*$BL62)</f>
        <v>0</v>
      </c>
      <c r="BN62" s="622" cm="1">
        <f t="array" ref="BN62">IF($BB62&lt;=0,0,IF(BN$2=-1,0,INDEX(Premises!$A$34:$F$34,1,$CH62)/100))</f>
        <v>0</v>
      </c>
      <c r="BO62" s="614">
        <f>(($AP62-$AL62-$AA62)+($AR62*$AT62))*$BN62</f>
        <v>0</v>
      </c>
      <c r="BP62" s="622" cm="1">
        <f t="array" ref="BP62">IF($BI62=0,0,INDEX(Premises!$A$37:$F$37,1,$CH62)/100)</f>
        <v>0</v>
      </c>
      <c r="BQ62" s="392"/>
      <c r="BR62" s="614">
        <f>($BI62+$BK62+$BM62+$BO62)*$BP62+$BQ62</f>
        <v>0</v>
      </c>
      <c r="BS62" s="624">
        <f>BI62+BK62+BM62+BO62+BR62</f>
        <v>0</v>
      </c>
      <c r="BT62" s="624">
        <f>IF($BS62=0,0,$CK62*$BS62)</f>
        <v>0</v>
      </c>
      <c r="BU62" s="625">
        <f>IF($BT62=0,0,MAX(1,$EB62/$DP62))</f>
        <v>0</v>
      </c>
      <c r="BV62" s="1127"/>
      <c r="BW62" s="401"/>
      <c r="BX62" s="401"/>
      <c r="BY62" s="402"/>
      <c r="BZ62" s="946"/>
      <c r="CA62" s="263" cm="1">
        <f t="array" ref="CA62">IF($BZ62&gt;0,VALUE(LEFT($BZ62,IF(ISERROR(FIND("-",$BZ62)),LEN($BZ62),FIND("-",$BZ62)-1))),INDEX($CA$1:$CA62,MAX(1,$CD62)))</f>
        <v>1</v>
      </c>
      <c r="CB62" s="263" cm="1">
        <f t="array" ref="CB62">IF($BT62=0,0,IF(LEN($BZ62)-LEN(SUBSTITUTE($BZ62,"-",""))&gt;1,
VALUE(MID($BZ62,FIND("-",$BZ62)+1,FIND("-",$BZ62,FIND("-",$BZ62)+1)-FIND("-",$BZ62)-1)),IF($BZ62&gt;0,0,INDEX($CB$1:$CB62,MAX(1,$CD62)))))</f>
        <v>0</v>
      </c>
      <c r="CC62" s="263" cm="1">
        <f t="array" ref="CC62">IF($BT62=0,0,IF(NOT(ISERROR(FIND("-",BZ62))),
VALUE(RIGHT($BZ62,LEN($BZ62)-IF(LEN($BZ62)-LEN(SUBSTITUTE($BZ62,"-",""))=1,FIND("-",$BZ62),FIND("-",$BZ62,FIND("-",$BZ62)+1)))),
IF($BZ62&gt;0,0,INDEX($CC$1:$CC62,MAX(1,$CD62)))))</f>
        <v>0</v>
      </c>
      <c r="CD62" s="376">
        <f>MATCH(0,$CE$1:$CE62,-1)</f>
        <v>61</v>
      </c>
      <c r="CE62" s="263"/>
      <c r="CF62" s="377"/>
      <c r="CG62" s="376" cm="1">
        <f t="array" ref="CG62">INDEX($CG$1:$CG62,$CD62)</f>
        <v>0</v>
      </c>
      <c r="CH62" s="263">
        <f>MATCH($CA62,Premises!$A$10:$F$10,0)</f>
        <v>4</v>
      </c>
      <c r="CI62" s="263">
        <f>IF(ISBLANK($E62),0,IFERROR(MATCH($E62,MHR[Bezeichnung],0),0))</f>
        <v>0</v>
      </c>
      <c r="CJ62" s="377">
        <f>IF(ISBLANK($AQ62),0,IFERROR(MATCH($AQ62,MAT[Bezeichnung],0),0))</f>
        <v>0</v>
      </c>
      <c r="CK62" s="263" cm="1">
        <f t="array" ref="CK62">INDEX($D$1:$D62,$CD62)</f>
        <v>0</v>
      </c>
      <c r="CL62" s="263"/>
      <c r="CM62" s="378"/>
      <c r="CN62" s="379" cm="1">
        <f t="array" ref="CN62">IF($CB62=0,0,IF($CB62=INDEX($CB$1:$CB62,$CD62),INDEX($CN$1:$CN62,$CD62),$CP62))</f>
        <v>0</v>
      </c>
      <c r="CO62" s="378"/>
      <c r="CP62" s="379" cm="1">
        <f t="array" ref="CP62">IF($CC62=0,0,INDEX($CP$1:$CP62,$CD62))</f>
        <v>0</v>
      </c>
      <c r="CQ62" s="380"/>
      <c r="CR62" s="381"/>
      <c r="CS62" s="381"/>
      <c r="CT62" s="948"/>
      <c r="CU62" s="2"/>
      <c r="CV62" s="630">
        <f>$J62*$CK62</f>
        <v>0</v>
      </c>
      <c r="CW62" s="631">
        <f>$R62*$CK62</f>
        <v>0</v>
      </c>
      <c r="CX62" s="631">
        <f>$V62*$CK62</f>
        <v>0</v>
      </c>
      <c r="CY62" s="631">
        <f>$AA62*$CK62</f>
        <v>0</v>
      </c>
      <c r="CZ62" s="631">
        <f>$AF62*$CK62</f>
        <v>0</v>
      </c>
      <c r="DA62" s="631">
        <f>$AL62*$CK62</f>
        <v>0</v>
      </c>
      <c r="DB62" s="631">
        <f>$AO62*$CK62</f>
        <v>0</v>
      </c>
      <c r="DC62" s="632">
        <f>$AP62*$CK62</f>
        <v>0</v>
      </c>
      <c r="DD62" s="631">
        <f>$AU62*$CK62</f>
        <v>0</v>
      </c>
      <c r="DE62" s="631">
        <f>$AX62*$CK62</f>
        <v>0</v>
      </c>
      <c r="DF62" s="631">
        <f>$AZ62*$CK62</f>
        <v>0</v>
      </c>
      <c r="DG62" s="632">
        <f>$BA62*$CK62</f>
        <v>0</v>
      </c>
      <c r="DH62" s="632">
        <f>$BB62*$CK62</f>
        <v>0</v>
      </c>
      <c r="DI62" s="631">
        <f>$BD62*$CK62</f>
        <v>0</v>
      </c>
      <c r="DJ62" s="631">
        <f>$BF62*$CK62</f>
        <v>0</v>
      </c>
      <c r="DK62" s="631">
        <f>$BH62*$CK62</f>
        <v>0</v>
      </c>
      <c r="DL62" s="631">
        <f>$BK62*$CK62</f>
        <v>0</v>
      </c>
      <c r="DM62" s="631">
        <f>$BM62*$CK62</f>
        <v>0</v>
      </c>
      <c r="DN62" s="631">
        <f>$BO62*$CK62</f>
        <v>0</v>
      </c>
      <c r="DO62" s="631">
        <f>$BR62*$CK62</f>
        <v>0</v>
      </c>
      <c r="DP62" s="634">
        <f>$CK62*($BB62+$BD62+$BF62+$BH62+$BK62+$BM62+$BO62+$BR62)</f>
        <v>0</v>
      </c>
      <c r="DQ62" s="929">
        <f>IF($CB62=0,0,$DP62*_xlfn.XLOOKUP($CB62,Premises!$A$10:$F$10,Premises!$A$30:$F$30)/100)</f>
        <v>0</v>
      </c>
      <c r="DR62" s="633">
        <f>IFERROR(SUM($DP62:$DQ62)*IF(INDEX(Premises!$A$42:$F$42,1,MATCH($CB62,Premises!$A$10:$F$10,0))&gt;0,INDEX(Premises!$A$42:$F$42,1,MATCH($CB62,Premises!$A$10:$F$10,0))%,$CN62),0)</f>
        <v>0</v>
      </c>
      <c r="DS62" s="633" cm="1">
        <f t="array" ref="DS62">IF($CB62=0,0,SUM($DP62:$DR62)*_xlfn.XLOOKUP($CB62,Premises!$A$10:$F$10,IF(INDEX(Settings[],MATCH(3001,Settings[ID],0),2)="B",Premises!$A$33:$F$33,Premises!$A$31:$F$31))/100)</f>
        <v>0</v>
      </c>
      <c r="DT62" s="633" cm="1">
        <f t="array" ref="DT62">IF($CB62=0,0,$DP62*_xlfn.XLOOKUP($CB62,Premises!$A$10:$F$10,IF(INDEX(Settings[],MATCH(3002,Settings[ID],0),2)="B",Premises!$A$36:$F$36,Premises!$A$34:$F$34))/100)</f>
        <v>0</v>
      </c>
      <c r="DU62" s="633">
        <f>IF($CB62=0,0,SUM($DP62:$DT62)*_xlfn.XLOOKUP($CB62,Premises!$A$10:$F$10,Premises!$A$37:$F$37)/100)</f>
        <v>0</v>
      </c>
      <c r="DV62" s="932">
        <f>SUM($DP62:$DU62)</f>
        <v>0</v>
      </c>
      <c r="DW62" s="929">
        <f>IF($CC62=0,0,$DV62*_xlfn.XLOOKUP($CC62,Premises!$A$10:$F$10,Premises!$A$30:$F$30)/100)</f>
        <v>0</v>
      </c>
      <c r="DX62" s="633">
        <f>IFERROR(SUM($DV62:$DW62)*IF(INDEX(Premises!$A$42:$F$42,1,MATCH($CC62,Premises!$A$10:$F$10,0))&gt;0,INDEX(Premises!$A$42:$F$42,1,MATCH($CC62,Premises!$A$10:$F$10,0))%,$CP62),0)</f>
        <v>0</v>
      </c>
      <c r="DY62" s="633" cm="1">
        <f t="array" ref="DY62">IF($CC62=0,0,SUM($DV62:$DX62)*_xlfn.XLOOKUP($CC62,Premises!$A$10:$F$10,IF(INDEX(Settings[],MATCH(3001,Settings[ID],0),2)="B",Premises!$A$33:$F$33,Premises!$A$31:$F$31))/100)</f>
        <v>0</v>
      </c>
      <c r="DZ62" s="633" cm="1">
        <f t="array" ref="DZ62">IF($CC62=0,0,$DV62*_xlfn.XLOOKUP($CC62,Premises!$A$10:$F$10,IF(INDEX(Settings[],MATCH(3002,Settings[ID],0),2)="B",Premises!$A$36:$F$36,Premises!$A$34:$F$34))/100)</f>
        <v>0</v>
      </c>
      <c r="EA62" s="633">
        <f>IF($CC62=0,0,SUM($DV62:$DZ62)*_xlfn.XLOOKUP($CC62,Premises!$A$10:$F$10,Premises!$A$37:$F$37)/100)</f>
        <v>0</v>
      </c>
      <c r="EB62" s="634">
        <f>SUM($DV62:$EA62)</f>
        <v>0</v>
      </c>
      <c r="EC62" s="2"/>
      <c r="ED62" s="1082"/>
      <c r="EE62" s="633"/>
      <c r="EF62" s="1085"/>
      <c r="EG62" s="1086"/>
      <c r="EH62" s="1086"/>
      <c r="EI62" s="1086"/>
      <c r="EJ62" s="1086"/>
      <c r="EK62" s="1086"/>
      <c r="EL62" s="1086"/>
      <c r="EM62" s="1085"/>
      <c r="EN62" s="1086"/>
      <c r="EO62" s="1086"/>
      <c r="EP62" s="1086"/>
      <c r="EQ62" s="1086"/>
      <c r="ER62" s="1085"/>
      <c r="ES62" s="1086"/>
      <c r="ET62" s="1086"/>
      <c r="EU62" s="1086"/>
      <c r="EV62" s="1086"/>
      <c r="EW62" s="1086"/>
      <c r="EX62" s="1087"/>
      <c r="EY62" s="2"/>
      <c r="EZ62" s="2"/>
      <c r="FA62" s="2"/>
      <c r="FB62" s="2"/>
      <c r="FC62" s="2"/>
      <c r="FD62" s="2"/>
      <c r="FE62" s="2"/>
      <c r="FF62" s="2"/>
      <c r="FG62" s="2"/>
      <c r="FH62" s="2"/>
      <c r="FI62" s="2"/>
      <c r="FJ62" s="403"/>
      <c r="FK62" s="404"/>
      <c r="FL62" s="405"/>
      <c r="FM62" s="948"/>
    </row>
    <row r="63" spans="1:169" s="13" customFormat="1" ht="12.75" customHeight="1">
      <c r="A63" s="215"/>
      <c r="B63" s="385"/>
      <c r="C63" s="386"/>
      <c r="D63" s="629"/>
      <c r="E63" s="387"/>
      <c r="F63" s="388"/>
      <c r="G63" s="388"/>
      <c r="H63" s="388"/>
      <c r="I63" s="620" cm="1">
        <f t="array" ref="I63">IF($CI63=0,0,IFERROR(INDEX(MHR[],$CI63,MATCH($CA63,MHR!$B$4:$AY$4,0)),0))</f>
        <v>0</v>
      </c>
      <c r="J63" s="617">
        <f>IF(COUNTBLANK($E63:$H63),0,IFERROR($F63/$H63/IF($G63="s",3600,IF($G63="min",60,IF($G63="h",1,0)))*I63,0))</f>
        <v>0</v>
      </c>
      <c r="K63" s="389"/>
      <c r="L63" s="390"/>
      <c r="M63" s="849"/>
      <c r="N63" s="390"/>
      <c r="O63" s="388"/>
      <c r="P63" s="628" cm="1">
        <f t="array" ref="P63">IF($K63=0,0,IFERROR(ROUNDUP(IF(ISNUMBER($K63),$K63,INDEX($D$1:$D63,$CD63)*INDEX(Premises!$A$13:$F$13,1,$CH63)/IF(OR($K63="T",$K63="D"),250,IF($K63="W",50,IF($K63="M",12,IF(OR($K63="HJ",$K63="HY"),2,IF(OR($K63="J",$K63="Y"),1,0)))))),0),0))</f>
        <v>0</v>
      </c>
      <c r="Q63" s="620" cm="1">
        <f t="array" ref="Q63">IF($K63=0,0,IFERROR(INDEX(Premises!$A$22:$F$22,1,$CH63)*100/INDEX(Premises!$A$16:$F$16,1,$CH63),0))</f>
        <v>0</v>
      </c>
      <c r="R63" s="617">
        <f>IF($P63=0,0,IFERROR(($L63/60*($I63+$Q63*$M63)+($N63/60*($Q63*$O63)))/$P63,0))</f>
        <v>0</v>
      </c>
      <c r="S63" s="391"/>
      <c r="T63" s="392"/>
      <c r="U63" s="620" cm="1">
        <f t="array" ref="U63">IF(COUNTBLANK($S63:$T63),0,
IF(AND(INDEX(MHR[Schichtmodell],$CI63)&lt;&gt;0,INDEX(MHR[Schichtmodell],$CI63)&lt;&gt;INDEX(Premises!$A$20:$F$20,1,$CH63)),ExchangeRate*
IF(OR($T63="M",$T63="U"),IF(INDEX(MHR[Schichtmodell],$CI63)=1,INDEX(LOC[M1S],INDEX(Premises!$A$18:$F$18,1,$CH63+1)),IF(INDEX(MHR[Schichtmodell],$CI63)=2,INDEX(LOC[M2S],INDEX(Premises!$A$18:$F$18,1,$CH63+1),IF(INDEX(MHR[Schichtmodell],$CI63)=3,INDEX(LOC[M3S],INDEX(Premises!$A$18:$F$18,1,$CH63+1)),0)))),
IF(INDEX(MHR[Schichtmodell],$CI63)=1,INDEX(LOC[F1S],INDEX(Premises!$A$18:$F$18,1,$CH63+1)),IF(INDEX(MHR[Schichtmodell],$CI63)=2,INDEX(LOC[F2S],INDEX(Premises!$A$18:$F$18,1,$CH63+1)),IF(INDEX(MHR[Schichtmodell],$CI63)=3,INDEX(LOC[F3S],INDEX(Premises!$A$18:$F$18,1,$CH63+1)),0)))),
IF(OR($T63="M",$T63="U"),INDEX(Premises!$A$21:$F$21,1,$CH63),
IF(OR($T63="F",$T63="S"),INDEX(Premises!$A$22:$F$22,1,$CH63),0)))*100/INDEX(Premises!$A$16:$F$16,1,$CH63))</f>
        <v>0</v>
      </c>
      <c r="V63" s="614">
        <f>IF($U63=0,0,IFERROR($F63/$H63/IF($G63="s",3600,IF($G63="min",60,IF($G63="h",1,0)))*$S63*$U63,0))</f>
        <v>0</v>
      </c>
      <c r="W63" s="393"/>
      <c r="X63" s="386"/>
      <c r="Y63" s="394"/>
      <c r="Z63" s="395"/>
      <c r="AA63" s="611">
        <f>IFERROR($X63*$Z63/$Y63/MAX(1,$H63),0)</f>
        <v>0</v>
      </c>
      <c r="AB63" s="393"/>
      <c r="AC63" s="386"/>
      <c r="AD63" s="394"/>
      <c r="AE63" s="396"/>
      <c r="AF63" s="611">
        <f>IFERROR($AC63*$AE63/$AD63,0)</f>
        <v>0</v>
      </c>
      <c r="AG63" s="612" cm="1">
        <f t="array" ref="AG63">IF(($J63+$V63+$AF63)=0,0,INDEX(Premises!$A$30:$F$30,1,$CH63)/100)</f>
        <v>0</v>
      </c>
      <c r="AH63" s="397"/>
      <c r="AI63" s="398"/>
      <c r="AJ63" s="399"/>
      <c r="AK63" s="613">
        <f>IF(COUNTBLANK($AH63:$AI63),0,$AH63*$AI63*$AG63)</f>
        <v>0</v>
      </c>
      <c r="AL63" s="614">
        <f>($AK63+$AJ63*$AG63*(1-$AH63)+($J63+$V63+$AF63)*$AG63*(1-$AH63))</f>
        <v>0</v>
      </c>
      <c r="AM63" s="615" cm="1">
        <f t="array" ref="AM63">IF($CI63=0,0,IFERROR(INDEX(MHR[],$CI63,MATCH($CA63,MHR!$B$4:$AY$4,0)+11),0))</f>
        <v>0</v>
      </c>
      <c r="AN63" s="616" cm="1">
        <f t="array" ref="AN63">IF(($J63+$V63)=0,0,IFERROR(IF(INDEX(Premises!$A$41:$F$41,1,$CH63)&lt;&gt;0,INDEX(Premises!$A$41:$F$41,1,$CH63)/100,(IFERROR(($J63/$I63)*$AM63,0)/($V63+$J63+$R63+$AL63))),0))</f>
        <v>0</v>
      </c>
      <c r="AO63" s="617">
        <f>IF(($J63+$V63)=0,0,IF(IFERROR(($J63+$R63+$V63+$AL63)*$AN63,0)&lt;&gt;IFERROR(($J63/$I63)*$AM63,0),($J63+$R63+$V63+$AL63)*$AN63,IFERROR(($J63/$I63)*$AM63,0)))</f>
        <v>0</v>
      </c>
      <c r="AP63" s="618">
        <f>$V63+$J63+$R63+$AA63+$AF63+$AL63+$AO63</f>
        <v>0</v>
      </c>
      <c r="AQ63" s="393"/>
      <c r="AR63" s="392"/>
      <c r="AS63" s="619" cm="1">
        <f t="array" ref="AS63">IF($CJ63=0,0,IFERROR(INDEX(MAT[Einheit],$CJ63,1),0))</f>
        <v>0</v>
      </c>
      <c r="AT63" s="620" cm="1">
        <f t="array" ref="AT63">IF($CJ63=0,0,IFERROR(INDEX(MAT[Preis],$CJ63,1),0))</f>
        <v>0</v>
      </c>
      <c r="AU63" s="621">
        <f>$AR63*$AT63</f>
        <v>0</v>
      </c>
      <c r="AV63" s="622" cm="1">
        <f t="array" ref="AV63">IF($AU63&lt;=0,0,INDEX(Premises!$A$30:$F$30,1,$CH63)/100)</f>
        <v>0</v>
      </c>
      <c r="AW63" s="392"/>
      <c r="AX63" s="614">
        <f>IF($AV63=0,0,($AU63+$AW63)*$AV63)</f>
        <v>0</v>
      </c>
      <c r="AY63" s="623" cm="1">
        <f t="array" ref="AY63">IF($AT63&lt;=0,0,IFERROR(IF(INDEX(Premises!$A$42:$F$42,1,$CH63)&lt;&gt;0,INDEX(Premises!$A$42:$F$42,1,$CH63)/100,(INDEX(MAT[],$CJ63,MATCH($CA63,MAT!$B$4:$AE$4,0))/($AR63*$CK63*INDEX(Premises!$A$13:$F$13,1,$CH63))+INDEX(MAT[],$CJ63,MATCH($CA63,MAT!$B$4:$AE$4,0)+7))/$AT63),0))</f>
        <v>0</v>
      </c>
      <c r="AZ63" s="614">
        <f>IF($AY63=0,0,($AU63+$AX63)*$AY63)</f>
        <v>0</v>
      </c>
      <c r="BA63" s="618">
        <f>$AU63+$AX63+$AZ63</f>
        <v>0</v>
      </c>
      <c r="BB63" s="618">
        <f>$AP63+$BA63</f>
        <v>0</v>
      </c>
      <c r="BC63" s="622" cm="1">
        <f t="array" ref="BC63">IF($BB63&lt;=0,0,IF(BC$2=-1,0,INDEX(Premises!$A$32:$F$32,1,$CH63)/100))</f>
        <v>0</v>
      </c>
      <c r="BD63" s="614">
        <f>IF($AP63&lt;=0,0,($AP63-$AA63-$AL63)*$BC63)</f>
        <v>0</v>
      </c>
      <c r="BE63" s="622" cm="1">
        <f t="array" ref="BE63">IF($BB63&lt;=0,0,IF(BE$2=-1,0,INDEX(Premises!$A$33:$F$33,1,$CH63)/100))</f>
        <v>0</v>
      </c>
      <c r="BF63" s="614">
        <f>IF($BA63&lt;=0,0,$BA63*$BE63)</f>
        <v>0</v>
      </c>
      <c r="BG63" s="622" cm="1">
        <f t="array" ref="BG63">IF($BB63&lt;=0,0,IF(BG$2=-1,0,INDEX(Premises!$A$31:$F$31,1,$CH63)/100))</f>
        <v>0</v>
      </c>
      <c r="BH63" s="614">
        <f>(($AP63-$AA63-$AL63)+$BA63)*$BG63</f>
        <v>0</v>
      </c>
      <c r="BI63" s="618">
        <f>$BB63+$BD63+$BF63+$BH63</f>
        <v>0</v>
      </c>
      <c r="BJ63" s="622" cm="1">
        <f t="array" ref="BJ63">IF($BB63&lt;=0,0,IF(BJ$2=-1,0,INDEX(Premises!$A$35:$F$35,1,$CH63)/100))</f>
        <v>0</v>
      </c>
      <c r="BK63" s="614">
        <f>IF($AP63&lt;=0,0,($AP63-$AL63-$AA63)*$BJ63)</f>
        <v>0</v>
      </c>
      <c r="BL63" s="622" cm="1">
        <f t="array" ref="BL63">IF($BB63&lt;=0,0,IF(BL$2=-1,0,INDEX(Premises!$A$36:$F$36,1,$CH63)/100))</f>
        <v>0</v>
      </c>
      <c r="BM63" s="614">
        <f>IF($AU63&lt;=0,0,($AR63*$AT63)*$BL63)</f>
        <v>0</v>
      </c>
      <c r="BN63" s="622" cm="1">
        <f t="array" ref="BN63">IF($BB63&lt;=0,0,IF(BN$2=-1,0,INDEX(Premises!$A$34:$F$34,1,$CH63)/100))</f>
        <v>0</v>
      </c>
      <c r="BO63" s="614">
        <f>(($AP63-$AL63-$AA63)+($AR63*$AT63))*$BN63</f>
        <v>0</v>
      </c>
      <c r="BP63" s="622" cm="1">
        <f t="array" ref="BP63">IF($BI63=0,0,INDEX(Premises!$A$37:$F$37,1,$CH63)/100)</f>
        <v>0</v>
      </c>
      <c r="BQ63" s="392"/>
      <c r="BR63" s="614">
        <f>($BI63+$BK63+$BM63+$BO63)*$BP63+$BQ63</f>
        <v>0</v>
      </c>
      <c r="BS63" s="624">
        <f>BI63+BK63+BM63+BO63+BR63</f>
        <v>0</v>
      </c>
      <c r="BT63" s="624">
        <f>IF($BS63=0,0,$CK63*$BS63)</f>
        <v>0</v>
      </c>
      <c r="BU63" s="625">
        <f>IF($BT63=0,0,MAX(1,$EB63/$DP63))</f>
        <v>0</v>
      </c>
      <c r="BV63" s="1127"/>
      <c r="BW63" s="401"/>
      <c r="BX63" s="401"/>
      <c r="BY63" s="402"/>
      <c r="BZ63" s="946"/>
      <c r="CA63" s="263" cm="1">
        <f t="array" ref="CA63">IF($BZ63&gt;0,VALUE(LEFT($BZ63,IF(ISERROR(FIND("-",$BZ63)),LEN($BZ63),FIND("-",$BZ63)-1))),INDEX($CA$1:$CA63,MAX(1,$CD63)))</f>
        <v>1</v>
      </c>
      <c r="CB63" s="263" cm="1">
        <f t="array" ref="CB63">IF($BT63=0,0,IF(LEN($BZ63)-LEN(SUBSTITUTE($BZ63,"-",""))&gt;1,
VALUE(MID($BZ63,FIND("-",$BZ63)+1,FIND("-",$BZ63,FIND("-",$BZ63)+1)-FIND("-",$BZ63)-1)),IF($BZ63&gt;0,0,INDEX($CB$1:$CB63,MAX(1,$CD63)))))</f>
        <v>0</v>
      </c>
      <c r="CC63" s="263" cm="1">
        <f t="array" ref="CC63">IF($BT63=0,0,IF(NOT(ISERROR(FIND("-",BZ63))),
VALUE(RIGHT($BZ63,LEN($BZ63)-IF(LEN($BZ63)-LEN(SUBSTITUTE($BZ63,"-",""))=1,FIND("-",$BZ63),FIND("-",$BZ63,FIND("-",$BZ63)+1)))),
IF($BZ63&gt;0,0,INDEX($CC$1:$CC63,MAX(1,$CD63)))))</f>
        <v>0</v>
      </c>
      <c r="CD63" s="376">
        <f>MATCH(0,$CE$1:$CE63,-1)</f>
        <v>61</v>
      </c>
      <c r="CE63" s="263"/>
      <c r="CF63" s="377"/>
      <c r="CG63" s="376" cm="1">
        <f t="array" ref="CG63">INDEX($CG$1:$CG63,$CD63)</f>
        <v>0</v>
      </c>
      <c r="CH63" s="263">
        <f>MATCH($CA63,Premises!$A$10:$F$10,0)</f>
        <v>4</v>
      </c>
      <c r="CI63" s="263">
        <f>IF(ISBLANK($E63),0,IFERROR(MATCH($E63,MHR[Bezeichnung],0),0))</f>
        <v>0</v>
      </c>
      <c r="CJ63" s="377">
        <f>IF(ISBLANK($AQ63),0,IFERROR(MATCH($AQ63,MAT[Bezeichnung],0),0))</f>
        <v>0</v>
      </c>
      <c r="CK63" s="263" cm="1">
        <f t="array" ref="CK63">INDEX($D$1:$D63,$CD63)</f>
        <v>0</v>
      </c>
      <c r="CL63" s="263"/>
      <c r="CM63" s="378"/>
      <c r="CN63" s="379" cm="1">
        <f t="array" ref="CN63">IF($CB63=0,0,IF($CB63=INDEX($CB$1:$CB63,$CD63),INDEX($CN$1:$CN63,$CD63),$CP63))</f>
        <v>0</v>
      </c>
      <c r="CO63" s="378"/>
      <c r="CP63" s="379" cm="1">
        <f t="array" ref="CP63">IF($CC63=0,0,INDEX($CP$1:$CP63,$CD63))</f>
        <v>0</v>
      </c>
      <c r="CQ63" s="380"/>
      <c r="CR63" s="381"/>
      <c r="CS63" s="381"/>
      <c r="CT63" s="948"/>
      <c r="CU63" s="2"/>
      <c r="CV63" s="630">
        <f>$J63*$CK63</f>
        <v>0</v>
      </c>
      <c r="CW63" s="631">
        <f>$R63*$CK63</f>
        <v>0</v>
      </c>
      <c r="CX63" s="631">
        <f>$V63*$CK63</f>
        <v>0</v>
      </c>
      <c r="CY63" s="631">
        <f>$AA63*$CK63</f>
        <v>0</v>
      </c>
      <c r="CZ63" s="631">
        <f>$AF63*$CK63</f>
        <v>0</v>
      </c>
      <c r="DA63" s="631">
        <f>$AL63*$CK63</f>
        <v>0</v>
      </c>
      <c r="DB63" s="631">
        <f>$AO63*$CK63</f>
        <v>0</v>
      </c>
      <c r="DC63" s="632">
        <f>$AP63*$CK63</f>
        <v>0</v>
      </c>
      <c r="DD63" s="631">
        <f>$AU63*$CK63</f>
        <v>0</v>
      </c>
      <c r="DE63" s="631">
        <f>$AX63*$CK63</f>
        <v>0</v>
      </c>
      <c r="DF63" s="631">
        <f>$AZ63*$CK63</f>
        <v>0</v>
      </c>
      <c r="DG63" s="632">
        <f>$BA63*$CK63</f>
        <v>0</v>
      </c>
      <c r="DH63" s="632">
        <f>$BB63*$CK63</f>
        <v>0</v>
      </c>
      <c r="DI63" s="631">
        <f>$BD63*$CK63</f>
        <v>0</v>
      </c>
      <c r="DJ63" s="631">
        <f>$BF63*$CK63</f>
        <v>0</v>
      </c>
      <c r="DK63" s="631">
        <f>$BH63*$CK63</f>
        <v>0</v>
      </c>
      <c r="DL63" s="631">
        <f>$BK63*$CK63</f>
        <v>0</v>
      </c>
      <c r="DM63" s="631">
        <f>$BM63*$CK63</f>
        <v>0</v>
      </c>
      <c r="DN63" s="631">
        <f>$BO63*$CK63</f>
        <v>0</v>
      </c>
      <c r="DO63" s="631">
        <f>$BR63*$CK63</f>
        <v>0</v>
      </c>
      <c r="DP63" s="634">
        <f>$CK63*($BB63+$BD63+$BF63+$BH63+$BK63+$BM63+$BO63+$BR63)</f>
        <v>0</v>
      </c>
      <c r="DQ63" s="929">
        <f>IF($CB63=0,0,$DP63*_xlfn.XLOOKUP($CB63,Premises!$A$10:$F$10,Premises!$A$30:$F$30)/100)</f>
        <v>0</v>
      </c>
      <c r="DR63" s="633">
        <f>IFERROR(SUM($DP63:$DQ63)*IF(INDEX(Premises!$A$42:$F$42,1,MATCH($CB63,Premises!$A$10:$F$10,0))&gt;0,INDEX(Premises!$A$42:$F$42,1,MATCH($CB63,Premises!$A$10:$F$10,0))%,$CN63),0)</f>
        <v>0</v>
      </c>
      <c r="DS63" s="633" cm="1">
        <f t="array" ref="DS63">IF($CB63=0,0,SUM($DP63:$DR63)*_xlfn.XLOOKUP($CB63,Premises!$A$10:$F$10,IF(INDEX(Settings[],MATCH(3001,Settings[ID],0),2)="B",Premises!$A$33:$F$33,Premises!$A$31:$F$31))/100)</f>
        <v>0</v>
      </c>
      <c r="DT63" s="633" cm="1">
        <f t="array" ref="DT63">IF($CB63=0,0,$DP63*_xlfn.XLOOKUP($CB63,Premises!$A$10:$F$10,IF(INDEX(Settings[],MATCH(3002,Settings[ID],0),2)="B",Premises!$A$36:$F$36,Premises!$A$34:$F$34))/100)</f>
        <v>0</v>
      </c>
      <c r="DU63" s="633">
        <f>IF($CB63=0,0,SUM($DP63:$DT63)*_xlfn.XLOOKUP($CB63,Premises!$A$10:$F$10,Premises!$A$37:$F$37)/100)</f>
        <v>0</v>
      </c>
      <c r="DV63" s="932">
        <f>SUM($DP63:$DU63)</f>
        <v>0</v>
      </c>
      <c r="DW63" s="929">
        <f>IF($CC63=0,0,$DV63*_xlfn.XLOOKUP($CC63,Premises!$A$10:$F$10,Premises!$A$30:$F$30)/100)</f>
        <v>0</v>
      </c>
      <c r="DX63" s="633">
        <f>IFERROR(SUM($DV63:$DW63)*IF(INDEX(Premises!$A$42:$F$42,1,MATCH($CC63,Premises!$A$10:$F$10,0))&gt;0,INDEX(Premises!$A$42:$F$42,1,MATCH($CC63,Premises!$A$10:$F$10,0))%,$CP63),0)</f>
        <v>0</v>
      </c>
      <c r="DY63" s="633" cm="1">
        <f t="array" ref="DY63">IF($CC63=0,0,SUM($DV63:$DX63)*_xlfn.XLOOKUP($CC63,Premises!$A$10:$F$10,IF(INDEX(Settings[],MATCH(3001,Settings[ID],0),2)="B",Premises!$A$33:$F$33,Premises!$A$31:$F$31))/100)</f>
        <v>0</v>
      </c>
      <c r="DZ63" s="633" cm="1">
        <f t="array" ref="DZ63">IF($CC63=0,0,$DV63*_xlfn.XLOOKUP($CC63,Premises!$A$10:$F$10,IF(INDEX(Settings[],MATCH(3002,Settings[ID],0),2)="B",Premises!$A$36:$F$36,Premises!$A$34:$F$34))/100)</f>
        <v>0</v>
      </c>
      <c r="EA63" s="633">
        <f>IF($CC63=0,0,SUM($DV63:$DZ63)*_xlfn.XLOOKUP($CC63,Premises!$A$10:$F$10,Premises!$A$37:$F$37)/100)</f>
        <v>0</v>
      </c>
      <c r="EB63" s="634">
        <f>SUM($DV63:$EA63)</f>
        <v>0</v>
      </c>
      <c r="EC63" s="2"/>
      <c r="ED63" s="1082"/>
      <c r="EE63" s="633"/>
      <c r="EF63" s="1088"/>
      <c r="EG63" s="1086"/>
      <c r="EH63" s="1086"/>
      <c r="EI63" s="1086"/>
      <c r="EJ63" s="1086"/>
      <c r="EK63" s="1086"/>
      <c r="EL63" s="1086"/>
      <c r="EM63" s="1088"/>
      <c r="EN63" s="1086"/>
      <c r="EO63" s="1086"/>
      <c r="EP63" s="1086"/>
      <c r="EQ63" s="1086"/>
      <c r="ER63" s="1088"/>
      <c r="ES63" s="1086"/>
      <c r="ET63" s="1086"/>
      <c r="EU63" s="1086"/>
      <c r="EV63" s="1086"/>
      <c r="EW63" s="1086"/>
      <c r="EX63" s="1089"/>
      <c r="EY63" s="2"/>
      <c r="EZ63" s="2"/>
      <c r="FA63" s="2"/>
      <c r="FB63" s="2"/>
      <c r="FC63" s="2"/>
      <c r="FD63" s="2"/>
      <c r="FE63" s="2"/>
      <c r="FF63" s="2"/>
      <c r="FG63" s="2"/>
      <c r="FH63" s="2"/>
      <c r="FI63" s="2"/>
      <c r="FJ63" s="403"/>
      <c r="FK63" s="404"/>
      <c r="FL63" s="405"/>
      <c r="FM63" s="948"/>
    </row>
    <row r="64" spans="1:169" s="13" customFormat="1" ht="12.75" customHeight="1">
      <c r="A64" s="215"/>
      <c r="B64" s="385"/>
      <c r="C64" s="386"/>
      <c r="D64" s="629"/>
      <c r="E64" s="387"/>
      <c r="F64" s="388"/>
      <c r="G64" s="388"/>
      <c r="H64" s="388"/>
      <c r="I64" s="620" cm="1">
        <f t="array" ref="I64">IF($CI64=0,0,IFERROR(INDEX(MHR[],$CI64,MATCH($CA64,MHR!$B$4:$AY$4,0)),0))</f>
        <v>0</v>
      </c>
      <c r="J64" s="617">
        <f>IF(COUNTBLANK($E64:$H64),0,IFERROR($F64/$H64/IF($G64="s",3600,IF($G64="min",60,IF($G64="h",1,0)))*I64,0))</f>
        <v>0</v>
      </c>
      <c r="K64" s="389"/>
      <c r="L64" s="390"/>
      <c r="M64" s="849"/>
      <c r="N64" s="390"/>
      <c r="O64" s="388"/>
      <c r="P64" s="628" cm="1">
        <f t="array" ref="P64">IF($K64=0,0,IFERROR(ROUNDUP(IF(ISNUMBER($K64),$K64,INDEX($D$1:$D64,$CD64)*INDEX(Premises!$A$13:$F$13,1,$CH64)/IF(OR($K64="T",$K64="D"),250,IF($K64="W",50,IF($K64="M",12,IF(OR($K64="HJ",$K64="HY"),2,IF(OR($K64="J",$K64="Y"),1,0)))))),0),0))</f>
        <v>0</v>
      </c>
      <c r="Q64" s="620" cm="1">
        <f t="array" ref="Q64">IF($K64=0,0,IFERROR(INDEX(Premises!$A$22:$F$22,1,$CH64)*100/INDEX(Premises!$A$16:$F$16,1,$CH64),0))</f>
        <v>0</v>
      </c>
      <c r="R64" s="617">
        <f>IF($P64=0,0,IFERROR(($L64/60*($I64+$Q64*$M64)+($N64/60*($Q64*$O64)))/$P64,0))</f>
        <v>0</v>
      </c>
      <c r="S64" s="391"/>
      <c r="T64" s="392"/>
      <c r="U64" s="620" cm="1">
        <f t="array" ref="U64">IF(COUNTBLANK($S64:$T64),0,
IF(AND(INDEX(MHR[Schichtmodell],$CI64)&lt;&gt;0,INDEX(MHR[Schichtmodell],$CI64)&lt;&gt;INDEX(Premises!$A$20:$F$20,1,$CH64)),ExchangeRate*
IF(OR($T64="M",$T64="U"),IF(INDEX(MHR[Schichtmodell],$CI64)=1,INDEX(LOC[M1S],INDEX(Premises!$A$18:$F$18,1,$CH64+1)),IF(INDEX(MHR[Schichtmodell],$CI64)=2,INDEX(LOC[M2S],INDEX(Premises!$A$18:$F$18,1,$CH64+1),IF(INDEX(MHR[Schichtmodell],$CI64)=3,INDEX(LOC[M3S],INDEX(Premises!$A$18:$F$18,1,$CH64+1)),0)))),
IF(INDEX(MHR[Schichtmodell],$CI64)=1,INDEX(LOC[F1S],INDEX(Premises!$A$18:$F$18,1,$CH64+1)),IF(INDEX(MHR[Schichtmodell],$CI64)=2,INDEX(LOC[F2S],INDEX(Premises!$A$18:$F$18,1,$CH64+1)),IF(INDEX(MHR[Schichtmodell],$CI64)=3,INDEX(LOC[F3S],INDEX(Premises!$A$18:$F$18,1,$CH64+1)),0)))),
IF(OR($T64="M",$T64="U"),INDEX(Premises!$A$21:$F$21,1,$CH64),
IF(OR($T64="F",$T64="S"),INDEX(Premises!$A$22:$F$22,1,$CH64),0)))*100/INDEX(Premises!$A$16:$F$16,1,$CH64))</f>
        <v>0</v>
      </c>
      <c r="V64" s="614">
        <f>IF($U64=0,0,IFERROR($F64/$H64/IF($G64="s",3600,IF($G64="min",60,IF($G64="h",1,0)))*$S64*$U64,0))</f>
        <v>0</v>
      </c>
      <c r="W64" s="393"/>
      <c r="X64" s="386"/>
      <c r="Y64" s="394"/>
      <c r="Z64" s="395"/>
      <c r="AA64" s="611">
        <f>IFERROR($X64*$Z64/$Y64/MAX(1,$H64),0)</f>
        <v>0</v>
      </c>
      <c r="AB64" s="393"/>
      <c r="AC64" s="386"/>
      <c r="AD64" s="394"/>
      <c r="AE64" s="396"/>
      <c r="AF64" s="611">
        <f>IFERROR($AC64*$AE64/$AD64,0)</f>
        <v>0</v>
      </c>
      <c r="AG64" s="612" cm="1">
        <f t="array" ref="AG64">IF(($J64+$V64+$AF64)=0,0,INDEX(Premises!$A$30:$F$30,1,$CH64)/100)</f>
        <v>0</v>
      </c>
      <c r="AH64" s="397"/>
      <c r="AI64" s="398"/>
      <c r="AJ64" s="399"/>
      <c r="AK64" s="613">
        <f>IF(COUNTBLANK($AH64:$AI64),0,$AH64*$AI64*$AG64)</f>
        <v>0</v>
      </c>
      <c r="AL64" s="614">
        <f>($AK64+$AJ64*$AG64*(1-$AH64)+($J64+$V64+$AF64)*$AG64*(1-$AH64))</f>
        <v>0</v>
      </c>
      <c r="AM64" s="615" cm="1">
        <f t="array" ref="AM64">IF($CI64=0,0,IFERROR(INDEX(MHR[],$CI64,MATCH($CA64,MHR!$B$4:$AY$4,0)+11),0))</f>
        <v>0</v>
      </c>
      <c r="AN64" s="616" cm="1">
        <f t="array" ref="AN64">IF(($J64+$V64)=0,0,IFERROR(IF(INDEX(Premises!$A$41:$F$41,1,$CH64)&lt;&gt;0,INDEX(Premises!$A$41:$F$41,1,$CH64)/100,(IFERROR(($J64/$I64)*$AM64,0)/($V64+$J64+$R64+$AL64))),0))</f>
        <v>0</v>
      </c>
      <c r="AO64" s="617">
        <f>IF(($J64+$V64)=0,0,IF(IFERROR(($J64+$R64+$V64+$AL64)*$AN64,0)&lt;&gt;IFERROR(($J64/$I64)*$AM64,0),($J64+$R64+$V64+$AL64)*$AN64,IFERROR(($J64/$I64)*$AM64,0)))</f>
        <v>0</v>
      </c>
      <c r="AP64" s="618">
        <f>$V64+$J64+$R64+$AA64+$AF64+$AL64+$AO64</f>
        <v>0</v>
      </c>
      <c r="AQ64" s="393"/>
      <c r="AR64" s="392"/>
      <c r="AS64" s="619" cm="1">
        <f t="array" ref="AS64">IF($CJ64=0,0,IFERROR(INDEX(MAT[Einheit],$CJ64,1),0))</f>
        <v>0</v>
      </c>
      <c r="AT64" s="620" cm="1">
        <f t="array" ref="AT64">IF($CJ64=0,0,IFERROR(INDEX(MAT[Preis],$CJ64,1),0))</f>
        <v>0</v>
      </c>
      <c r="AU64" s="621">
        <f>$AR64*$AT64</f>
        <v>0</v>
      </c>
      <c r="AV64" s="622" cm="1">
        <f t="array" ref="AV64">IF($AU64&lt;=0,0,INDEX(Premises!$A$30:$F$30,1,$CH64)/100)</f>
        <v>0</v>
      </c>
      <c r="AW64" s="392"/>
      <c r="AX64" s="614">
        <f>IF($AV64=0,0,($AU64+$AW64)*$AV64)</f>
        <v>0</v>
      </c>
      <c r="AY64" s="623" cm="1">
        <f t="array" ref="AY64">IF($AT64&lt;=0,0,IFERROR(IF(INDEX(Premises!$A$42:$F$42,1,$CH64)&lt;&gt;0,INDEX(Premises!$A$42:$F$42,1,$CH64)/100,(INDEX(MAT[],$CJ64,MATCH($CA64,MAT!$B$4:$AE$4,0))/($AR64*$CK64*INDEX(Premises!$A$13:$F$13,1,$CH64))+INDEX(MAT[],$CJ64,MATCH($CA64,MAT!$B$4:$AE$4,0)+7))/$AT64),0))</f>
        <v>0</v>
      </c>
      <c r="AZ64" s="614">
        <f>IF($AY64=0,0,($AU64+$AX64)*$AY64)</f>
        <v>0</v>
      </c>
      <c r="BA64" s="618">
        <f>$AU64+$AX64+$AZ64</f>
        <v>0</v>
      </c>
      <c r="BB64" s="618">
        <f>$AP64+$BA64</f>
        <v>0</v>
      </c>
      <c r="BC64" s="622" cm="1">
        <f t="array" ref="BC64">IF($BB64&lt;=0,0,IF(BC$2=-1,0,INDEX(Premises!$A$32:$F$32,1,$CH64)/100))</f>
        <v>0</v>
      </c>
      <c r="BD64" s="614">
        <f>IF($AP64&lt;=0,0,($AP64-$AA64-$AL64)*$BC64)</f>
        <v>0</v>
      </c>
      <c r="BE64" s="622" cm="1">
        <f t="array" ref="BE64">IF($BB64&lt;=0,0,IF(BE$2=-1,0,INDEX(Premises!$A$33:$F$33,1,$CH64)/100))</f>
        <v>0</v>
      </c>
      <c r="BF64" s="614">
        <f>IF($BA64&lt;=0,0,$BA64*$BE64)</f>
        <v>0</v>
      </c>
      <c r="BG64" s="622" cm="1">
        <f t="array" ref="BG64">IF($BB64&lt;=0,0,IF(BG$2=-1,0,INDEX(Premises!$A$31:$F$31,1,$CH64)/100))</f>
        <v>0</v>
      </c>
      <c r="BH64" s="614">
        <f>(($AP64-$AA64-$AL64)+$BA64)*$BG64</f>
        <v>0</v>
      </c>
      <c r="BI64" s="618">
        <f>$BB64+$BD64+$BF64+$BH64</f>
        <v>0</v>
      </c>
      <c r="BJ64" s="622" cm="1">
        <f t="array" ref="BJ64">IF($BB64&lt;=0,0,IF(BJ$2=-1,0,INDEX(Premises!$A$35:$F$35,1,$CH64)/100))</f>
        <v>0</v>
      </c>
      <c r="BK64" s="614">
        <f>IF($AP64&lt;=0,0,($AP64-$AL64-$AA64)*$BJ64)</f>
        <v>0</v>
      </c>
      <c r="BL64" s="622" cm="1">
        <f t="array" ref="BL64">IF($BB64&lt;=0,0,IF(BL$2=-1,0,INDEX(Premises!$A$36:$F$36,1,$CH64)/100))</f>
        <v>0</v>
      </c>
      <c r="BM64" s="614">
        <f>IF($AU64&lt;=0,0,($AR64*$AT64)*$BL64)</f>
        <v>0</v>
      </c>
      <c r="BN64" s="622" cm="1">
        <f t="array" ref="BN64">IF($BB64&lt;=0,0,IF(BN$2=-1,0,INDEX(Premises!$A$34:$F$34,1,$CH64)/100))</f>
        <v>0</v>
      </c>
      <c r="BO64" s="614">
        <f>(($AP64-$AL64-$AA64)+($AR64*$AT64))*$BN64</f>
        <v>0</v>
      </c>
      <c r="BP64" s="622" cm="1">
        <f t="array" ref="BP64">IF($BI64=0,0,INDEX(Premises!$A$37:$F$37,1,$CH64)/100)</f>
        <v>0</v>
      </c>
      <c r="BQ64" s="392"/>
      <c r="BR64" s="614">
        <f>($BI64+$BK64+$BM64+$BO64)*$BP64+$BQ64</f>
        <v>0</v>
      </c>
      <c r="BS64" s="624">
        <f>BI64+BK64+BM64+BO64+BR64</f>
        <v>0</v>
      </c>
      <c r="BT64" s="624">
        <f>IF($BS64=0,0,$CK64*$BS64)</f>
        <v>0</v>
      </c>
      <c r="BU64" s="625">
        <f>IF($BT64=0,0,MAX(1,$EB64/$DP64))</f>
        <v>0</v>
      </c>
      <c r="BV64" s="1127"/>
      <c r="BW64" s="401"/>
      <c r="BX64" s="401"/>
      <c r="BY64" s="402"/>
      <c r="BZ64" s="946"/>
      <c r="CA64" s="263" cm="1">
        <f t="array" ref="CA64">IF($BZ64&gt;0,VALUE(LEFT($BZ64,IF(ISERROR(FIND("-",$BZ64)),LEN($BZ64),FIND("-",$BZ64)-1))),INDEX($CA$1:$CA64,MAX(1,$CD64)))</f>
        <v>1</v>
      </c>
      <c r="CB64" s="263" cm="1">
        <f t="array" ref="CB64">IF($BT64=0,0,IF(LEN($BZ64)-LEN(SUBSTITUTE($BZ64,"-",""))&gt;1,
VALUE(MID($BZ64,FIND("-",$BZ64)+1,FIND("-",$BZ64,FIND("-",$BZ64)+1)-FIND("-",$BZ64)-1)),IF($BZ64&gt;0,0,INDEX($CB$1:$CB64,MAX(1,$CD64)))))</f>
        <v>0</v>
      </c>
      <c r="CC64" s="263" cm="1">
        <f t="array" ref="CC64">IF($BT64=0,0,IF(NOT(ISERROR(FIND("-",BZ64))),
VALUE(RIGHT($BZ64,LEN($BZ64)-IF(LEN($BZ64)-LEN(SUBSTITUTE($BZ64,"-",""))=1,FIND("-",$BZ64),FIND("-",$BZ64,FIND("-",$BZ64)+1)))),
IF($BZ64&gt;0,0,INDEX($CC$1:$CC64,MAX(1,$CD64)))))</f>
        <v>0</v>
      </c>
      <c r="CD64" s="376">
        <f>MATCH(0,$CE$1:$CE64,-1)</f>
        <v>61</v>
      </c>
      <c r="CE64" s="263"/>
      <c r="CF64" s="377"/>
      <c r="CG64" s="376" cm="1">
        <f t="array" ref="CG64">INDEX($CG$1:$CG64,$CD64)</f>
        <v>0</v>
      </c>
      <c r="CH64" s="263">
        <f>MATCH($CA64,Premises!$A$10:$F$10,0)</f>
        <v>4</v>
      </c>
      <c r="CI64" s="263">
        <f>IF(ISBLANK($E64),0,IFERROR(MATCH($E64,MHR[Bezeichnung],0),0))</f>
        <v>0</v>
      </c>
      <c r="CJ64" s="377">
        <f>IF(ISBLANK($AQ64),0,IFERROR(MATCH($AQ64,MAT[Bezeichnung],0),0))</f>
        <v>0</v>
      </c>
      <c r="CK64" s="263" cm="1">
        <f t="array" ref="CK64">INDEX($D$1:$D64,$CD64)</f>
        <v>0</v>
      </c>
      <c r="CL64" s="263"/>
      <c r="CM64" s="378"/>
      <c r="CN64" s="379" cm="1">
        <f t="array" ref="CN64">IF($CB64=0,0,IF($CB64=INDEX($CB$1:$CB64,$CD64),INDEX($CN$1:$CN64,$CD64),$CP64))</f>
        <v>0</v>
      </c>
      <c r="CO64" s="378"/>
      <c r="CP64" s="379" cm="1">
        <f t="array" ref="CP64">IF($CC64=0,0,INDEX($CP$1:$CP64,$CD64))</f>
        <v>0</v>
      </c>
      <c r="CQ64" s="380"/>
      <c r="CR64" s="381"/>
      <c r="CS64" s="381"/>
      <c r="CT64" s="948"/>
      <c r="CU64" s="2"/>
      <c r="CV64" s="630">
        <f>$J64*$CK64</f>
        <v>0</v>
      </c>
      <c r="CW64" s="631">
        <f>$R64*$CK64</f>
        <v>0</v>
      </c>
      <c r="CX64" s="631">
        <f>$V64*$CK64</f>
        <v>0</v>
      </c>
      <c r="CY64" s="631">
        <f>$AA64*$CK64</f>
        <v>0</v>
      </c>
      <c r="CZ64" s="631">
        <f>$AF64*$CK64</f>
        <v>0</v>
      </c>
      <c r="DA64" s="631">
        <f>$AL64*$CK64</f>
        <v>0</v>
      </c>
      <c r="DB64" s="631">
        <f>$AO64*$CK64</f>
        <v>0</v>
      </c>
      <c r="DC64" s="632">
        <f>$AP64*$CK64</f>
        <v>0</v>
      </c>
      <c r="DD64" s="631">
        <f>$AU64*$CK64</f>
        <v>0</v>
      </c>
      <c r="DE64" s="631">
        <f>$AX64*$CK64</f>
        <v>0</v>
      </c>
      <c r="DF64" s="631">
        <f>$AZ64*$CK64</f>
        <v>0</v>
      </c>
      <c r="DG64" s="632">
        <f>$BA64*$CK64</f>
        <v>0</v>
      </c>
      <c r="DH64" s="632">
        <f>$BB64*$CK64</f>
        <v>0</v>
      </c>
      <c r="DI64" s="631">
        <f>$BD64*$CK64</f>
        <v>0</v>
      </c>
      <c r="DJ64" s="631">
        <f>$BF64*$CK64</f>
        <v>0</v>
      </c>
      <c r="DK64" s="631">
        <f>$BH64*$CK64</f>
        <v>0</v>
      </c>
      <c r="DL64" s="631">
        <f>$BK64*$CK64</f>
        <v>0</v>
      </c>
      <c r="DM64" s="631">
        <f>$BM64*$CK64</f>
        <v>0</v>
      </c>
      <c r="DN64" s="631">
        <f>$BO64*$CK64</f>
        <v>0</v>
      </c>
      <c r="DO64" s="631">
        <f>$BR64*$CK64</f>
        <v>0</v>
      </c>
      <c r="DP64" s="634">
        <f>$CK64*($BB64+$BD64+$BF64+$BH64+$BK64+$BM64+$BO64+$BR64)</f>
        <v>0</v>
      </c>
      <c r="DQ64" s="929">
        <f>IF($CB64=0,0,$DP64*_xlfn.XLOOKUP($CB64,Premises!$A$10:$F$10,Premises!$A$30:$F$30)/100)</f>
        <v>0</v>
      </c>
      <c r="DR64" s="633">
        <f>IFERROR(SUM($DP64:$DQ64)*IF(INDEX(Premises!$A$42:$F$42,1,MATCH($CB64,Premises!$A$10:$F$10,0))&gt;0,INDEX(Premises!$A$42:$F$42,1,MATCH($CB64,Premises!$A$10:$F$10,0))%,$CN64),0)</f>
        <v>0</v>
      </c>
      <c r="DS64" s="633" cm="1">
        <f t="array" ref="DS64">IF($CB64=0,0,SUM($DP64:$DR64)*_xlfn.XLOOKUP($CB64,Premises!$A$10:$F$10,IF(INDEX(Settings[],MATCH(3001,Settings[ID],0),2)="B",Premises!$A$33:$F$33,Premises!$A$31:$F$31))/100)</f>
        <v>0</v>
      </c>
      <c r="DT64" s="633" cm="1">
        <f t="array" ref="DT64">IF($CB64=0,0,$DP64*_xlfn.XLOOKUP($CB64,Premises!$A$10:$F$10,IF(INDEX(Settings[],MATCH(3002,Settings[ID],0),2)="B",Premises!$A$36:$F$36,Premises!$A$34:$F$34))/100)</f>
        <v>0</v>
      </c>
      <c r="DU64" s="633">
        <f>IF($CB64=0,0,SUM($DP64:$DT64)*_xlfn.XLOOKUP($CB64,Premises!$A$10:$F$10,Premises!$A$37:$F$37)/100)</f>
        <v>0</v>
      </c>
      <c r="DV64" s="932">
        <f>SUM($DP64:$DU64)</f>
        <v>0</v>
      </c>
      <c r="DW64" s="929">
        <f>IF($CC64=0,0,$DV64*_xlfn.XLOOKUP($CC64,Premises!$A$10:$F$10,Premises!$A$30:$F$30)/100)</f>
        <v>0</v>
      </c>
      <c r="DX64" s="633">
        <f>IFERROR(SUM($DV64:$DW64)*IF(INDEX(Premises!$A$42:$F$42,1,MATCH($CC64,Premises!$A$10:$F$10,0))&gt;0,INDEX(Premises!$A$42:$F$42,1,MATCH($CC64,Premises!$A$10:$F$10,0))%,$CP64),0)</f>
        <v>0</v>
      </c>
      <c r="DY64" s="633" cm="1">
        <f t="array" ref="DY64">IF($CC64=0,0,SUM($DV64:$DX64)*_xlfn.XLOOKUP($CC64,Premises!$A$10:$F$10,IF(INDEX(Settings[],MATCH(3001,Settings[ID],0),2)="B",Premises!$A$33:$F$33,Premises!$A$31:$F$31))/100)</f>
        <v>0</v>
      </c>
      <c r="DZ64" s="633" cm="1">
        <f t="array" ref="DZ64">IF($CC64=0,0,$DV64*_xlfn.XLOOKUP($CC64,Premises!$A$10:$F$10,IF(INDEX(Settings[],MATCH(3002,Settings[ID],0),2)="B",Premises!$A$36:$F$36,Premises!$A$34:$F$34))/100)</f>
        <v>0</v>
      </c>
      <c r="EA64" s="633">
        <f>IF($CC64=0,0,SUM($DV64:$DZ64)*_xlfn.XLOOKUP($CC64,Premises!$A$10:$F$10,Premises!$A$37:$F$37)/100)</f>
        <v>0</v>
      </c>
      <c r="EB64" s="634">
        <f>SUM($DV64:$EA64)</f>
        <v>0</v>
      </c>
      <c r="EC64" s="1077"/>
      <c r="ED64" s="929"/>
      <c r="EE64" s="617"/>
      <c r="EF64" s="1092"/>
      <c r="EG64" s="1086"/>
      <c r="EH64" s="1086"/>
      <c r="EI64" s="1086"/>
      <c r="EJ64" s="1086"/>
      <c r="EK64" s="1086"/>
      <c r="EL64" s="1086"/>
      <c r="EM64" s="1088"/>
      <c r="EN64" s="1086"/>
      <c r="EO64" s="1086"/>
      <c r="EP64" s="1086"/>
      <c r="EQ64" s="1086"/>
      <c r="ER64" s="1088"/>
      <c r="ES64" s="1086"/>
      <c r="ET64" s="1086"/>
      <c r="EU64" s="1086"/>
      <c r="EV64" s="1086"/>
      <c r="EW64" s="1086"/>
      <c r="EX64" s="1089"/>
      <c r="EY64" s="2"/>
      <c r="EZ64" s="2"/>
      <c r="FA64" s="2"/>
      <c r="FB64" s="2"/>
      <c r="FC64" s="2"/>
      <c r="FD64" s="2"/>
      <c r="FE64" s="2"/>
      <c r="FF64" s="2"/>
      <c r="FG64" s="2"/>
      <c r="FH64" s="2"/>
      <c r="FI64" s="2"/>
      <c r="FJ64" s="403"/>
      <c r="FK64" s="404"/>
      <c r="FL64" s="405"/>
      <c r="FM64" s="948"/>
    </row>
    <row r="65" spans="1:169" s="119" customFormat="1" ht="4.5" customHeight="1">
      <c r="A65" s="44"/>
      <c r="D65" s="120"/>
      <c r="F65" s="71"/>
      <c r="G65" s="71"/>
      <c r="H65" s="71"/>
      <c r="I65" s="71"/>
      <c r="J65" s="71"/>
      <c r="K65" s="71"/>
      <c r="L65" s="71"/>
      <c r="M65" s="71"/>
      <c r="N65" s="71"/>
      <c r="O65" s="71"/>
      <c r="P65" s="71"/>
      <c r="Q65" s="71"/>
      <c r="R65" s="71"/>
      <c r="S65" s="71"/>
      <c r="T65" s="71"/>
      <c r="U65" s="71"/>
      <c r="AN65" s="71"/>
      <c r="AY65" s="71"/>
      <c r="BP65" s="121"/>
      <c r="BQ65" s="121"/>
      <c r="BR65" s="121"/>
      <c r="BS65" s="97"/>
      <c r="BT65" s="121"/>
      <c r="BU65" s="122"/>
      <c r="BV65" s="100"/>
      <c r="BW65" s="100"/>
      <c r="BX65" s="100"/>
      <c r="BY65" s="121"/>
      <c r="BZ65" s="121"/>
      <c r="CA65" s="70"/>
      <c r="CB65" s="70"/>
      <c r="CC65" s="70"/>
      <c r="CD65" s="70"/>
      <c r="CE65" s="70"/>
      <c r="CF65" s="70"/>
      <c r="CG65" s="70"/>
      <c r="CH65" s="70"/>
      <c r="CI65" s="70"/>
      <c r="CJ65" s="70"/>
      <c r="CK65" s="70"/>
      <c r="CL65" s="70"/>
      <c r="CM65" s="70"/>
      <c r="CN65" s="125"/>
      <c r="CO65" s="126"/>
      <c r="CP65" s="125"/>
      <c r="CQ65" s="127"/>
      <c r="CR65" s="127"/>
      <c r="CS65" s="128"/>
      <c r="CT65" s="923"/>
      <c r="CU65" s="121"/>
      <c r="CV65" s="97"/>
      <c r="CW65" s="97"/>
      <c r="CX65" s="97"/>
      <c r="CY65" s="97"/>
      <c r="CZ65" s="97"/>
      <c r="DA65" s="97"/>
      <c r="DB65" s="97"/>
      <c r="DC65" s="99"/>
      <c r="DD65" s="97"/>
      <c r="DE65" s="97"/>
      <c r="DF65" s="97"/>
      <c r="DG65" s="99"/>
      <c r="DH65" s="99"/>
      <c r="DI65" s="99"/>
      <c r="DJ65" s="99"/>
      <c r="DK65" s="97"/>
      <c r="DL65" s="97"/>
      <c r="DM65" s="97"/>
      <c r="DN65" s="97"/>
      <c r="DO65" s="97"/>
      <c r="DP65" s="97"/>
      <c r="DQ65" s="97"/>
      <c r="DR65" s="97"/>
      <c r="DS65" s="97"/>
      <c r="DT65" s="97"/>
      <c r="DU65" s="97"/>
      <c r="DV65" s="97"/>
      <c r="DW65" s="97"/>
      <c r="DX65" s="97"/>
      <c r="DY65" s="97"/>
      <c r="DZ65" s="97"/>
      <c r="EA65" s="97"/>
      <c r="EB65" s="97"/>
      <c r="EC65" s="121"/>
      <c r="ED65" s="129"/>
      <c r="EE65" s="129"/>
      <c r="EF65" s="129"/>
      <c r="EG65" s="129"/>
      <c r="EH65" s="129"/>
      <c r="EI65" s="129"/>
      <c r="EJ65" s="129"/>
      <c r="EK65" s="129"/>
      <c r="EL65" s="129"/>
      <c r="EM65" s="129"/>
      <c r="EN65" s="129"/>
      <c r="EO65" s="129"/>
      <c r="EP65" s="129"/>
      <c r="EQ65" s="129"/>
      <c r="ER65" s="129"/>
      <c r="ES65" s="129"/>
      <c r="ET65" s="129"/>
      <c r="EU65" s="129"/>
      <c r="EV65" s="129"/>
      <c r="EW65" s="129"/>
      <c r="EX65" s="130"/>
      <c r="EY65" s="121"/>
      <c r="EZ65" s="121"/>
      <c r="FA65" s="121"/>
      <c r="FB65" s="121"/>
      <c r="FC65" s="121"/>
      <c r="FD65" s="121"/>
      <c r="FE65" s="121"/>
      <c r="FF65" s="121"/>
      <c r="FG65" s="121"/>
      <c r="FH65" s="121"/>
      <c r="FI65" s="121"/>
      <c r="FJ65" s="124"/>
      <c r="FK65" s="124"/>
      <c r="FL65" s="124"/>
      <c r="FM65" s="923"/>
    </row>
    <row r="66" spans="1:169" s="121" customFormat="1">
      <c r="A66" s="131"/>
      <c r="B66" s="132"/>
      <c r="C66" s="729"/>
      <c r="D66" s="709">
        <f>COUNT($D$11:$D$65)</f>
        <v>7</v>
      </c>
      <c r="E66" s="710"/>
      <c r="F66" s="710"/>
      <c r="G66" s="710"/>
      <c r="H66" s="710"/>
      <c r="I66" s="710"/>
      <c r="J66" s="711">
        <f>SUMPRODUCT(J$11:J$65,$CK$11:$CK$65)</f>
        <v>0.43000520680000826</v>
      </c>
      <c r="K66" s="710"/>
      <c r="L66" s="710"/>
      <c r="M66" s="710"/>
      <c r="N66" s="710"/>
      <c r="O66" s="710"/>
      <c r="P66" s="712"/>
      <c r="Q66" s="710"/>
      <c r="R66" s="711">
        <f>SUMPRODUCT(R$11:R$65,$CK$11:$CK$65)</f>
        <v>6.7870461777733745E-2</v>
      </c>
      <c r="S66" s="710"/>
      <c r="T66" s="710"/>
      <c r="U66" s="710"/>
      <c r="V66" s="711">
        <f>SUMPRODUCT(V$11:V$65,$CK$11:$CK$65)</f>
        <v>0.45173990162037037</v>
      </c>
      <c r="W66" s="710"/>
      <c r="X66" s="710"/>
      <c r="Y66" s="710"/>
      <c r="Z66" s="710"/>
      <c r="AA66" s="711">
        <f>SUMPRODUCT(AA$11:AA$65,$CK$11:$CK$65)</f>
        <v>0</v>
      </c>
      <c r="AB66" s="710"/>
      <c r="AC66" s="710"/>
      <c r="AD66" s="710"/>
      <c r="AE66" s="710"/>
      <c r="AF66" s="711">
        <f>SUMPRODUCT(AF$11:AF$65,$CK$11:$CK$65)</f>
        <v>0</v>
      </c>
      <c r="AG66" s="710"/>
      <c r="AH66" s="710"/>
      <c r="AI66" s="710"/>
      <c r="AJ66" s="710"/>
      <c r="AK66" s="710"/>
      <c r="AL66" s="711">
        <f>SUMPRODUCT(AL$11:AL$65,$CK$11:$CK$65)</f>
        <v>8.8174510842037868E-3</v>
      </c>
      <c r="AM66" s="710"/>
      <c r="AN66" s="713">
        <f>IFERROR((AO66/((J66+R66+V66+AL66))),0)</f>
        <v>0.12355586771600192</v>
      </c>
      <c r="AO66" s="711">
        <f>SUMPRODUCT(AO$11:AO$65,$CK$11:$CK$65)</f>
        <v>0.11842002359220592</v>
      </c>
      <c r="AP66" s="711">
        <f>SUMPRODUCT(AP$11:AP$65,$CK$11:$CK$65)</f>
        <v>1.0768530448745222</v>
      </c>
      <c r="AQ66" s="710"/>
      <c r="AR66" s="714"/>
      <c r="AS66" s="715"/>
      <c r="AT66" s="716"/>
      <c r="AU66" s="711">
        <f>SUMPRODUCT(AU$11:AU$65,$CK$11:$CK$65)</f>
        <v>16.919265039471998</v>
      </c>
      <c r="AV66" s="715"/>
      <c r="AW66" s="715"/>
      <c r="AX66" s="711">
        <f>SUMPRODUCT(AX$11:AX$65,$CK$11:$CK$65)</f>
        <v>0.16919265039472003</v>
      </c>
      <c r="AY66" s="713">
        <f>IFERROR($AZ$66/($AU66+$AX66),0)</f>
        <v>4.267220401438958E-3</v>
      </c>
      <c r="AZ66" s="711">
        <f>SUMPRODUCT(AZ$11:AZ$65,$CK$11:$CK$65)</f>
        <v>7.2920215283325707E-2</v>
      </c>
      <c r="BA66" s="711">
        <f>SUMPRODUCT(BA$11:BA$65,$CK$11:$CK$65)</f>
        <v>17.161377905150044</v>
      </c>
      <c r="BB66" s="711">
        <f>SUMPRODUCT(BB$11:BB$65,$CK$11:$CK$65)</f>
        <v>18.238230950024562</v>
      </c>
      <c r="BC66" s="710"/>
      <c r="BD66" s="711">
        <f>SUMPRODUCT(BD$11:BD$65,$CK$11:$CK$65)</f>
        <v>0</v>
      </c>
      <c r="BE66" s="710"/>
      <c r="BF66" s="711">
        <f>SUMPRODUCT(BF$11:BF$65,$CK$11:$CK$65)</f>
        <v>0</v>
      </c>
      <c r="BG66" s="710"/>
      <c r="BH66" s="711">
        <f>SUMPRODUCT(BH$11:BH$65,$CK$11:$CK$65)</f>
        <v>1.8229413498940366</v>
      </c>
      <c r="BI66" s="710"/>
      <c r="BJ66" s="710"/>
      <c r="BK66" s="711">
        <f>SUMPRODUCT(BK$11:BK$65,$CK$11:$CK$65)</f>
        <v>0</v>
      </c>
      <c r="BL66" s="710"/>
      <c r="BM66" s="711">
        <f>SUMPRODUCT(BM$11:BM$65,$CK$11:$CK$65)</f>
        <v>0</v>
      </c>
      <c r="BN66" s="710"/>
      <c r="BO66" s="711">
        <f>SUMPRODUCT(BO$11:BO$65,$CK$11:$CK$65)</f>
        <v>1.0792380379957391</v>
      </c>
      <c r="BP66" s="717"/>
      <c r="BQ66" s="717"/>
      <c r="BR66" s="711">
        <f>SUM(BR$11:BR$65)</f>
        <v>0</v>
      </c>
      <c r="BS66" s="717"/>
      <c r="BT66" s="711"/>
      <c r="BU66" s="718"/>
      <c r="BV66" s="719"/>
      <c r="BW66" s="720">
        <f>SUM(BW$11:BW$65)</f>
        <v>21.140410337914346</v>
      </c>
      <c r="BX66" s="720"/>
      <c r="BY66" s="721"/>
      <c r="BZ66" s="721"/>
      <c r="CA66" s="722"/>
      <c r="CB66" s="722"/>
      <c r="CC66" s="722"/>
      <c r="CD66" s="722"/>
      <c r="CE66" s="722"/>
      <c r="CF66" s="722"/>
      <c r="CG66" s="722"/>
      <c r="CH66" s="722"/>
      <c r="CI66" s="722"/>
      <c r="CJ66" s="722"/>
      <c r="CK66" s="722"/>
      <c r="CL66" s="722"/>
      <c r="CM66" s="722"/>
      <c r="CN66" s="723"/>
      <c r="CO66" s="724"/>
      <c r="CP66" s="723"/>
      <c r="CQ66" s="725"/>
      <c r="CR66" s="725"/>
      <c r="CS66" s="726"/>
      <c r="CT66" s="924"/>
      <c r="CU66" s="721"/>
      <c r="CV66" s="711" cm="1">
        <f t="array" ref="CV66">SUMPRODUCT((($CE$11:$CE$65)&gt;0)*CV$11:CV$65)</f>
        <v>0.43000520680000837</v>
      </c>
      <c r="CW66" s="711" cm="1">
        <f t="array" ref="CW66">SUMPRODUCT((($CE$11:$CE$65)&gt;0)*CW$11:CW$65)</f>
        <v>6.7870461777733745E-2</v>
      </c>
      <c r="CX66" s="711" cm="1">
        <f t="array" ref="CX66">SUMPRODUCT((($CE$11:$CE$65)&gt;0)*CX$11:CX$65)</f>
        <v>0.45173990162037037</v>
      </c>
      <c r="CY66" s="711" cm="1">
        <f t="array" ref="CY66">SUMPRODUCT((($CE$11:$CE$65)&gt;0)*CY$11:CY$65)</f>
        <v>0</v>
      </c>
      <c r="CZ66" s="711" cm="1">
        <f t="array" ref="CZ66">SUMPRODUCT((($CE$11:$CE$65)&gt;0)*CZ$11:CZ$65)</f>
        <v>0</v>
      </c>
      <c r="DA66" s="711" cm="1">
        <f t="array" ref="DA66">SUMPRODUCT((($CE$11:$CE$65)&gt;0)*DA$11:DA$65)</f>
        <v>8.8174510842037885E-3</v>
      </c>
      <c r="DB66" s="711" cm="1">
        <f t="array" ref="DB66">SUMPRODUCT((($CE$11:$CE$65)&gt;0)*DB$11:DB$65)</f>
        <v>0.11842002359220592</v>
      </c>
      <c r="DC66" s="727" cm="1">
        <f t="array" ref="DC66">SUMPRODUCT((($CE$11:$CE$65)&gt;0)*DC$11:DC$65)</f>
        <v>1.0768530448745222</v>
      </c>
      <c r="DD66" s="711" cm="1">
        <f t="array" ref="DD66">SUMPRODUCT((($CE$11:$CE$65)&gt;0)*DD$11:DD$65)</f>
        <v>16.919265039471998</v>
      </c>
      <c r="DE66" s="711" cm="1">
        <f t="array" ref="DE66">SUMPRODUCT((($CE$11:$CE$65)&gt;0)*DE$11:DE$65)</f>
        <v>0.16919265039472003</v>
      </c>
      <c r="DF66" s="711" cm="1">
        <f t="array" ref="DF66">SUMPRODUCT((($CE$11:$CE$65)&gt;0)*DF$11:DF$65)</f>
        <v>7.2920215283325707E-2</v>
      </c>
      <c r="DG66" s="727" cm="1">
        <f t="array" ref="DG66">SUMPRODUCT((($CE$11:$CE$65)&gt;0)*DG$11:DG$65)</f>
        <v>17.161377905150044</v>
      </c>
      <c r="DH66" s="727" cm="1">
        <f t="array" ref="DH66">SUMPRODUCT((($CE$11:$CE$65)&gt;0)*DH$11:DH$65)</f>
        <v>18.238230950024562</v>
      </c>
      <c r="DI66" s="711" cm="1">
        <f t="array" ref="DI66">SUMPRODUCT((($CE$11:$CE$65)&gt;0)*DI$11:DI$65)</f>
        <v>0</v>
      </c>
      <c r="DJ66" s="711" cm="1">
        <f t="array" ref="DJ66">SUMPRODUCT((($CE$11:$CE$65)&gt;0)*DJ$11:DJ$65)</f>
        <v>0</v>
      </c>
      <c r="DK66" s="711" cm="1">
        <f t="array" ref="DK66">SUMPRODUCT((($CE$11:$CE$65)&gt;0)*DK$11:DK$65)</f>
        <v>1.8229413498940366</v>
      </c>
      <c r="DL66" s="711" cm="1">
        <f t="array" ref="DL66">SUMPRODUCT((($CE$11:$CE$65)&gt;0)*DL$11:DL$65)</f>
        <v>0</v>
      </c>
      <c r="DM66" s="711" cm="1">
        <f t="array" ref="DM66">SUMPRODUCT((($CE$11:$CE$65)&gt;0)*DM$11:DM$65)</f>
        <v>0</v>
      </c>
      <c r="DN66" s="711" cm="1">
        <f t="array" ref="DN66">SUMPRODUCT((($CE$11:$CE$65)&gt;0)*DN$11:DN$65)</f>
        <v>1.0792380379957391</v>
      </c>
      <c r="DO66" s="711" cm="1">
        <f t="array" ref="DO66">SUMPRODUCT((($CE$11:$CE$65)&gt;0)*DO$11:DO$65)</f>
        <v>0</v>
      </c>
      <c r="DP66" s="727" cm="1">
        <f t="array" ref="DP66">SUMPRODUCT((($CE$11:$CE$65)&gt;0)*DP$11:DP$65)</f>
        <v>21.140410337914346</v>
      </c>
      <c r="DQ66" s="711" cm="1">
        <f t="array" ref="DQ66">SUMPRODUCT((($CE$11:$CE$65)&gt;0)*DQ$11:DQ$65)</f>
        <v>0</v>
      </c>
      <c r="DR66" s="711" cm="1">
        <f t="array" ref="DR66">SUMPRODUCT((($CE$11:$CE$65)&gt;0)*DR$11:DR$65)</f>
        <v>0</v>
      </c>
      <c r="DS66" s="711" cm="1">
        <f t="array" ref="DS66">SUMPRODUCT((($CE$11:$CE$65)&gt;0)*DS$11:DS$65)</f>
        <v>0</v>
      </c>
      <c r="DT66" s="711" cm="1">
        <f t="array" ref="DT66">SUMPRODUCT((($CE$11:$CE$65)&gt;0)*DT$11:DT$65)</f>
        <v>0</v>
      </c>
      <c r="DU66" s="711" cm="1">
        <f t="array" ref="DU66">SUMPRODUCT((($CE$11:$CE$65)&gt;0)*DU$11:DU$65)</f>
        <v>0</v>
      </c>
      <c r="DV66" s="727">
        <f>IF(SUM($DQ$66:$DU$66)=0,0,SUM($DP$66:$DU$66))</f>
        <v>0</v>
      </c>
      <c r="DW66" s="711" cm="1">
        <f t="array" ref="DW66">SUMPRODUCT((($CE$11:$CE$65)&gt;0)*DW$11:DW$65)</f>
        <v>0</v>
      </c>
      <c r="DX66" s="711" cm="1">
        <f t="array" ref="DX66">SUMPRODUCT((($CE$11:$CE$65)&gt;0)*DX$11:DX$65)</f>
        <v>0</v>
      </c>
      <c r="DY66" s="711" cm="1">
        <f t="array" ref="DY66">SUMPRODUCT((($CE$11:$CE$65)&gt;0)*DY$11:DY$65)</f>
        <v>0</v>
      </c>
      <c r="DZ66" s="711" cm="1">
        <f t="array" ref="DZ66">SUMPRODUCT((($CE$11:$CE$65)&gt;0)*DZ$11:DZ$65)</f>
        <v>0</v>
      </c>
      <c r="EA66" s="711" cm="1">
        <f t="array" ref="EA66">SUMPRODUCT((($CE$11:$CE$65)&gt;0)*EA$11:EA$65)</f>
        <v>0</v>
      </c>
      <c r="EB66" s="727">
        <f>SUM($DP$66:$DU$66,$DW$66:$EA$66)</f>
        <v>21.140410337914346</v>
      </c>
      <c r="EC66" s="721"/>
      <c r="ED66" s="717" cm="1">
        <f t="array" ref="ED66">SUMPRODUCT((($CE$11:$CE$65)&gt;0)*ED$11:ED$65)</f>
        <v>0</v>
      </c>
      <c r="EE66" s="717" cm="1">
        <f t="array" ref="EE66">SUMPRODUCT((($CE$11:$CE$65)&gt;0)*EE$11:EE$65)</f>
        <v>0</v>
      </c>
      <c r="EF66" s="717" cm="1">
        <f t="array" ref="EF66">SUMPRODUCT((($CE$11:$CE$65)&gt;0)*EF$11:EF$65)</f>
        <v>0</v>
      </c>
      <c r="EG66" s="717" cm="1">
        <f t="array" ref="EG66">SUMPRODUCT((($CE$11:$CE$65)&gt;0)*EG$11:EG$65)</f>
        <v>0</v>
      </c>
      <c r="EH66" s="717" cm="1">
        <f t="array" ref="EH66">SUMPRODUCT((($CE$11:$CE$65)&gt;0)*EH$11:EH$65)</f>
        <v>0</v>
      </c>
      <c r="EI66" s="717" cm="1">
        <f t="array" ref="EI66">SUMPRODUCT((($CE$11:$CE$65)&gt;0)*EI$11:EI$65)</f>
        <v>0</v>
      </c>
      <c r="EJ66" s="717" cm="1">
        <f t="array" ref="EJ66">SUMPRODUCT((($CE$11:$CE$65)&gt;0)*EJ$11:EJ$65)</f>
        <v>0</v>
      </c>
      <c r="EK66" s="717" cm="1">
        <f t="array" ref="EK66">SUMPRODUCT((($CE$11:$CE$65)&gt;0)*EK$11:EK$65)</f>
        <v>0</v>
      </c>
      <c r="EL66" s="717" cm="1">
        <f t="array" ref="EL66">SUMPRODUCT((($CE$11:$CE$65)&gt;0)*EL$11:EL$65)</f>
        <v>0</v>
      </c>
      <c r="EM66" s="717"/>
      <c r="EN66" s="717" cm="1">
        <f t="array" ref="EN66">SUMPRODUCT((($CE$11:$CE$65)&gt;0)*EN$11:EN$65)</f>
        <v>0</v>
      </c>
      <c r="EO66" s="717" cm="1">
        <f t="array" ref="EO66">SUMPRODUCT((($CE$11:$CE$65)&gt;0)*EO$11:EO$65)</f>
        <v>0</v>
      </c>
      <c r="EP66" s="717" cm="1">
        <f t="array" ref="EP66">SUMPRODUCT((($CE$11:$CE$65)&gt;0)*EP$11:EP$65)</f>
        <v>0</v>
      </c>
      <c r="EQ66" s="717" cm="1">
        <f t="array" ref="EQ66">SUMPRODUCT((($CE$11:$CE$65)&gt;0)*EQ$11:EQ$65)</f>
        <v>0</v>
      </c>
      <c r="ER66" s="717"/>
      <c r="ES66" s="717" cm="1">
        <f t="array" ref="ES66">SUMPRODUCT((($CE$11:$CE$65)&gt;0)*ES$11:ES$65)</f>
        <v>0</v>
      </c>
      <c r="ET66" s="717" cm="1">
        <f t="array" ref="ET66">SUMPRODUCT((($CE$11:$CE$65)&gt;0)*ET$11:ET$65)</f>
        <v>0</v>
      </c>
      <c r="EU66" s="717" cm="1">
        <f t="array" ref="EU66">SUMPRODUCT((($CE$11:$CE$65)&gt;0)*EU$11:EU$65)</f>
        <v>0</v>
      </c>
      <c r="EV66" s="717" cm="1">
        <f t="array" ref="EV66">SUMPRODUCT((($CE$11:$CE$65)&gt;0)*EV$11:EV$65)</f>
        <v>0</v>
      </c>
      <c r="EW66" s="717" cm="1">
        <f t="array" ref="EW66">SUMPRODUCT((($CE$11:$CE$65)&gt;0)*EW$11:EW$65)</f>
        <v>0</v>
      </c>
      <c r="EX66" s="728" cm="1">
        <f t="array" ref="EX66">SUMPRODUCT((($CE$11:$CE$65)&gt;0)*EX$11:EX$65)</f>
        <v>0</v>
      </c>
      <c r="EY66" s="109"/>
      <c r="EZ66" s="109"/>
      <c r="FA66" s="109"/>
      <c r="FB66" s="109"/>
      <c r="FC66" s="109"/>
      <c r="FD66" s="109"/>
      <c r="FE66" s="109"/>
      <c r="FF66" s="109"/>
      <c r="FG66" s="109"/>
      <c r="FH66" s="109"/>
      <c r="FI66" s="109"/>
      <c r="FJ66" s="721"/>
      <c r="FK66" s="721"/>
      <c r="FL66" s="721"/>
      <c r="FM66" s="923"/>
    </row>
    <row r="67" spans="1:169" s="119" customFormat="1" ht="5.0999999999999996" customHeight="1">
      <c r="A67" s="44"/>
      <c r="D67" s="120"/>
      <c r="F67" s="71"/>
      <c r="G67" s="71"/>
      <c r="H67" s="71"/>
      <c r="I67" s="71"/>
      <c r="J67" s="71"/>
      <c r="K67" s="71"/>
      <c r="L67" s="71"/>
      <c r="M67" s="71"/>
      <c r="N67" s="71"/>
      <c r="O67" s="71"/>
      <c r="P67" s="71"/>
      <c r="Q67" s="71"/>
      <c r="R67" s="71"/>
      <c r="S67" s="71"/>
      <c r="T67" s="71"/>
      <c r="U67" s="71"/>
      <c r="V67" s="133"/>
      <c r="AA67" s="133"/>
      <c r="AF67" s="133"/>
      <c r="AL67" s="133"/>
      <c r="AM67" s="133"/>
      <c r="AN67" s="71"/>
      <c r="AO67" s="133"/>
      <c r="AP67" s="134"/>
      <c r="AY67" s="71"/>
      <c r="BP67" s="121"/>
      <c r="BQ67" s="121"/>
      <c r="BR67" s="121"/>
      <c r="BS67" s="97"/>
      <c r="BT67" s="121"/>
      <c r="BU67" s="122"/>
      <c r="BV67" s="100"/>
      <c r="BW67" s="100"/>
      <c r="BX67" s="100"/>
      <c r="BY67" s="123"/>
      <c r="BZ67" s="123"/>
      <c r="CA67" s="70"/>
      <c r="CB67" s="70"/>
      <c r="CC67" s="70"/>
      <c r="CD67" s="70"/>
      <c r="CE67" s="70"/>
      <c r="CF67" s="70"/>
      <c r="CG67" s="70"/>
      <c r="CH67" s="70"/>
      <c r="CI67" s="70"/>
      <c r="CJ67" s="70"/>
      <c r="CK67" s="70"/>
      <c r="CL67" s="70"/>
      <c r="CM67" s="70"/>
      <c r="CN67" s="125"/>
      <c r="CO67" s="126"/>
      <c r="CP67" s="125"/>
      <c r="CQ67" s="127"/>
      <c r="CR67" s="127"/>
      <c r="CS67" s="128"/>
      <c r="CT67" s="923"/>
      <c r="CU67" s="123"/>
      <c r="CV67" s="70"/>
      <c r="CW67" s="70"/>
      <c r="CX67" s="70"/>
      <c r="CY67" s="70"/>
      <c r="CZ67" s="70"/>
      <c r="DA67" s="70"/>
      <c r="DB67" s="70"/>
      <c r="DC67" s="135"/>
      <c r="DD67" s="70"/>
      <c r="DE67" s="70"/>
      <c r="DF67" s="70"/>
      <c r="DG67" s="135"/>
      <c r="DH67" s="135"/>
      <c r="DI67" s="135"/>
      <c r="DJ67" s="135"/>
      <c r="DK67" s="70"/>
      <c r="DL67" s="70"/>
      <c r="DM67" s="70"/>
      <c r="DN67" s="70"/>
      <c r="DO67" s="70"/>
      <c r="DP67" s="70"/>
      <c r="DQ67" s="70"/>
      <c r="DR67" s="70"/>
      <c r="DS67" s="70"/>
      <c r="DT67" s="70"/>
      <c r="DU67" s="70"/>
      <c r="DV67" s="70"/>
      <c r="DW67" s="70"/>
      <c r="DX67" s="70"/>
      <c r="DY67" s="70"/>
      <c r="DZ67" s="70"/>
      <c r="EA67" s="70"/>
      <c r="EB67" s="70"/>
      <c r="EC67" s="123"/>
      <c r="ED67" s="136"/>
      <c r="EE67" s="136"/>
      <c r="EF67" s="136"/>
      <c r="EG67" s="136"/>
      <c r="EH67" s="136"/>
      <c r="EI67" s="136"/>
      <c r="EJ67" s="136"/>
      <c r="EK67" s="136"/>
      <c r="EL67" s="136"/>
      <c r="EM67" s="136"/>
      <c r="EN67" s="136"/>
      <c r="EO67" s="136"/>
      <c r="EP67" s="136"/>
      <c r="EQ67" s="136"/>
      <c r="ER67" s="136"/>
      <c r="ES67" s="136"/>
      <c r="ET67" s="136"/>
      <c r="EU67" s="136"/>
      <c r="EV67" s="136"/>
      <c r="EW67" s="136"/>
      <c r="EX67" s="137"/>
      <c r="EY67" s="123"/>
      <c r="EZ67" s="123"/>
      <c r="FA67" s="123"/>
      <c r="FB67" s="123"/>
      <c r="FC67" s="123"/>
      <c r="FD67" s="123"/>
      <c r="FE67" s="123"/>
      <c r="FF67" s="123"/>
      <c r="FG67" s="123"/>
      <c r="FH67" s="123"/>
      <c r="FI67" s="123"/>
      <c r="FJ67" s="124"/>
      <c r="FK67" s="124"/>
      <c r="FL67" s="124"/>
      <c r="FM67" s="923"/>
    </row>
    <row r="68" spans="1:169">
      <c r="FM68" s="923"/>
    </row>
  </sheetData>
  <sheetProtection formatCells="0" formatColumns="0" formatRows="0" insertColumns="0" insertRows="0" insertHyperlinks="0" deleteColumns="0" deleteRows="0" sort="0" autoFilter="0" pivotTables="0"/>
  <autoFilter ref="B11:FL65" xr:uid="{01251E28-CDAA-41E7-B04F-E8F3AD182EFC}"/>
  <dataConsolidate/>
  <mergeCells count="53">
    <mergeCell ref="ED3:EE3"/>
    <mergeCell ref="DQ7:DU7"/>
    <mergeCell ref="DW7:EA7"/>
    <mergeCell ref="DQ4:DV4"/>
    <mergeCell ref="DW4:EB4"/>
    <mergeCell ref="ED7:EW7"/>
    <mergeCell ref="EF3:EL3"/>
    <mergeCell ref="EM3:EQ3"/>
    <mergeCell ref="ER3:EW3"/>
    <mergeCell ref="ER4:ER5"/>
    <mergeCell ref="CG4:CJ4"/>
    <mergeCell ref="CV4:DP4"/>
    <mergeCell ref="CV7:DC7"/>
    <mergeCell ref="DD7:DG7"/>
    <mergeCell ref="CM4:CP4"/>
    <mergeCell ref="CQ4:CS4"/>
    <mergeCell ref="DH7:DO7"/>
    <mergeCell ref="FJ3:FL3"/>
    <mergeCell ref="AV3:AX3"/>
    <mergeCell ref="BV3:BX3"/>
    <mergeCell ref="BE4:BF4"/>
    <mergeCell ref="BJ4:BK4"/>
    <mergeCell ref="BL4:BM4"/>
    <mergeCell ref="BS3:BT3"/>
    <mergeCell ref="BG4:BH4"/>
    <mergeCell ref="BN4:BO4"/>
    <mergeCell ref="BJ3:BO3"/>
    <mergeCell ref="BP3:BR3"/>
    <mergeCell ref="BC4:BD4"/>
    <mergeCell ref="CV3:EB3"/>
    <mergeCell ref="CA4:CC4"/>
    <mergeCell ref="CK4:CL4"/>
    <mergeCell ref="CD4:CF4"/>
    <mergeCell ref="E3:J3"/>
    <mergeCell ref="S3:V3"/>
    <mergeCell ref="AD4:AD5"/>
    <mergeCell ref="K3:R3"/>
    <mergeCell ref="W4:W5"/>
    <mergeCell ref="AB4:AB5"/>
    <mergeCell ref="X4:X5"/>
    <mergeCell ref="AC4:AC5"/>
    <mergeCell ref="G4:G5"/>
    <mergeCell ref="H4:H5"/>
    <mergeCell ref="F4:F5"/>
    <mergeCell ref="AB3:AF3"/>
    <mergeCell ref="W3:AA3"/>
    <mergeCell ref="Y4:Y5"/>
    <mergeCell ref="AG3:AL3"/>
    <mergeCell ref="AH4:AI4"/>
    <mergeCell ref="AM3:AO3"/>
    <mergeCell ref="BC3:BH3"/>
    <mergeCell ref="AY3:AZ3"/>
    <mergeCell ref="AQ3:AU3"/>
  </mergeCells>
  <conditionalFormatting sqref="BX61">
    <cfRule type="cellIs" dxfId="1387" priority="7490" operator="equal">
      <formula>0</formula>
    </cfRule>
  </conditionalFormatting>
  <conditionalFormatting sqref="BX12">
    <cfRule type="cellIs" dxfId="1386" priority="6" operator="equal">
      <formula>0</formula>
    </cfRule>
  </conditionalFormatting>
  <conditionalFormatting sqref="BX17">
    <cfRule type="cellIs" dxfId="1385" priority="5" operator="equal">
      <formula>0</formula>
    </cfRule>
  </conditionalFormatting>
  <conditionalFormatting sqref="BX26">
    <cfRule type="cellIs" dxfId="1384" priority="4" operator="equal">
      <formula>0</formula>
    </cfRule>
  </conditionalFormatting>
  <conditionalFormatting sqref="BX38">
    <cfRule type="cellIs" dxfId="1383" priority="3" operator="equal">
      <formula>0</formula>
    </cfRule>
  </conditionalFormatting>
  <conditionalFormatting sqref="BX47">
    <cfRule type="cellIs" dxfId="1382" priority="2" operator="equal">
      <formula>0</formula>
    </cfRule>
  </conditionalFormatting>
  <conditionalFormatting sqref="BX52">
    <cfRule type="cellIs" dxfId="1381" priority="1" operator="equal">
      <formula>0</formula>
    </cfRule>
  </conditionalFormatting>
  <dataValidations count="13">
    <dataValidation type="whole" operator="greaterThanOrEqual" allowBlank="1" showInputMessage="1" showErrorMessage="1" sqref="BZ7:BZ9" xr:uid="{1E2A60A8-6B7E-40DB-AB17-6167D419FF60}">
      <formula1>1</formula1>
    </dataValidation>
    <dataValidation type="whole" operator="greaterThanOrEqual" allowBlank="1" showInputMessage="1" sqref="BZ11" xr:uid="{D8DB1389-3806-4BCC-B327-35112DBB8D15}">
      <formula1>1</formula1>
    </dataValidation>
    <dataValidation type="list" allowBlank="1" showInputMessage="1" showErrorMessage="1" sqref="G62:G64 G13:G16 G48:G51 G27:G37 G39:G46 G53:G60 G18:G25" xr:uid="{D1656A0B-D3D2-406C-90D2-2C87E7DFF24B}">
      <formula1>"s,min,h"</formula1>
    </dataValidation>
    <dataValidation type="list" allowBlank="1" showInputMessage="1" sqref="AQ62:AQ64 AQ13:AQ16 AQ48:AQ51 AQ27:AQ37 AQ39:AQ46 AQ53:AQ60 AQ18:AQ25" xr:uid="{32A84ECD-4483-4EB0-90C0-CCEA83A92EB6}">
      <formula1>MAT_Dropdown</formula1>
    </dataValidation>
    <dataValidation type="list" allowBlank="1" showInputMessage="1" showErrorMessage="1" sqref="E62:E64 E13:E16 E48:E51 E27:E37 E39:E46 E53:E60 E18:E25" xr:uid="{71AA496E-EE35-447B-A5B6-9A3ED8ABBF98}">
      <formula1>MHR_Dropdown</formula1>
    </dataValidation>
    <dataValidation type="custom" allowBlank="1" showDropDown="1" showInputMessage="1" showErrorMessage="1" sqref="D62:D64 D13:D16 D48:D51 D27:D37 D39:D46 D53:D60 D18:D25" xr:uid="{4689430E-3F2C-4099-BE75-E95BC2BAB0E2}">
      <formula1>"&gt;1000000"</formula1>
    </dataValidation>
    <dataValidation type="list" allowBlank="1" showInputMessage="1" sqref="FJ61:FJ64 FJ29:FJ34 FJ36 FJ45 FJ41:FJ43 FJ55:FJ58 FJ24" xr:uid="{18F9CC97-5F52-4894-A4C3-1DC3B81479A4}">
      <formula1>Cluster1_Dropdown</formula1>
    </dataValidation>
    <dataValidation type="list" allowBlank="1" showInputMessage="1" sqref="FK61:FK64 FK29:FK34 FK36 FK45 FK41:FK43 FK55:FK58 FK24" xr:uid="{7EA54C18-2C53-40F0-AF1E-A34570362ED9}">
      <formula1>Cluster2_Dropdown</formula1>
    </dataValidation>
    <dataValidation type="list" allowBlank="1" showInputMessage="1" sqref="FL61:FL64 FL29:FL34 FL36 FL45 FL41:FL43 FL55:FL58 FL24" xr:uid="{2F946E78-82D4-4722-9EE9-45743381433E}">
      <formula1>Cluster3_Dropdown</formula1>
    </dataValidation>
    <dataValidation type="list" allowBlank="1" showInputMessage="1" showErrorMessage="1" sqref="FJ46:FJ54 FJ35 FJ37:FJ40 FJ44 FJ59:FJ60 FJ12:FJ23 FJ25:FJ28" xr:uid="{14A5648D-E20A-4A13-88C2-D90DC0F3D427}">
      <formula1>Cluster1_Dropdown</formula1>
    </dataValidation>
    <dataValidation type="list" allowBlank="1" showInputMessage="1" showErrorMessage="1" sqref="FK46:FK54 FK35 FK37:FK40 FK44 FK59:FK60 FK12:FK23 FK25:FK28" xr:uid="{654F6010-9528-4FE0-93F2-9E88E91006D8}">
      <formula1>Cluster2_Dropdown</formula1>
    </dataValidation>
    <dataValidation type="list" allowBlank="1" showInputMessage="1" showErrorMessage="1" sqref="FL46:FL54 FL35 FL37:FL40 FL44 FL59:FL60 FL12:FL23 FL25:FL28" xr:uid="{51B8C37A-CD18-4A0D-8535-7FCF93478C2E}">
      <formula1>Cluster3_Dropdown</formula1>
    </dataValidation>
    <dataValidation type="list" allowBlank="1" showInputMessage="1" sqref="ER12:ER64" xr:uid="{B66DD1A8-2D7E-4822-963C-620EE8C65D01}">
      <formula1>CO2Transportarten</formula1>
    </dataValidation>
  </dataValidations>
  <pageMargins left="0.7" right="0.7" top="0.75" bottom="0.75" header="0.3" footer="0.3"/>
  <pageSetup paperSize="9" scale="34" fitToHeight="0" orientation="landscape" r:id="rId1"/>
  <headerFooter alignWithMargins="0">
    <oddHeader>&amp;C&amp;"Arial,Fett" Vertraulich</oddHeader>
    <oddFooter>&amp;L&amp;D&amp;CAWS Systemtechnik GmbH&amp;RSeite &amp;P von &amp;N</oddFooter>
  </headerFooter>
  <ignoredErrors>
    <ignoredError sqref="C3:C5 BV67:BW67 L66:Q66 AM66 W66:Z66 BS67:BT67 AQ66 U66 AV67:BF67 BC66 BI67:BM67 AB66:AE66 AG66:AK66 AV66:AW66 BE66 BI66:BJ66 BL66 AS66 U67:AQ67 AR67:AT67 I66" unlockedFormula="1"/>
    <ignoredError sqref="AY66" formula="1"/>
  </ignoredError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xr:uid="{01EA10C2-499A-425C-AC64-0723272380AB}">
          <x14:formula1>
            <xm:f>Translation!$E$3:$E$7</xm:f>
          </x14:formula1>
          <xm:sqref>K62:K64 K13:K16 K48:K51 K27:K37 K39:K46 K53:K60 K18:K25</xm:sqref>
        </x14:dataValidation>
        <x14:dataValidation type="list" allowBlank="1" showInputMessage="1" showErrorMessage="1" xr:uid="{2F4ECA0F-31C4-43EC-A02D-48C97B705B84}">
          <x14:formula1>
            <xm:f>Translation!$E$8:$E$9</xm:f>
          </x14:formula1>
          <xm:sqref>T62:T64 T13:T16 T48:T51 T27:T37 T39:T46 T53:T60 T18:T25</xm:sqref>
        </x14:dataValidation>
        <x14:dataValidation type="whole" allowBlank="1" showInputMessage="1" xr:uid="{8048416E-0C10-47E6-8BA3-54833E5344FD}">
          <x14:formula1>
            <xm:f>1</xm:f>
          </x14:formula1>
          <x14:formula2>
            <xm:f>COUNT(Premises!$10:$10)</xm:f>
          </x14:formula2>
          <xm:sqref>CB2:CC3 CL5:CL11 CT61:EQ64 CE5:CF11 CH2:CL3 CE2:CF3 CN2:CS2 CA2:CA11 CD2:CD11 CN5:CT11 CG2:CG11 CM2:CM11 FM2:FM3 CT2:CT3 CB5:CC11 CH5:CJ11 CK2:CK11 CT12:EB60 ED12:EQ60 FM5:FM64 ES12:FI64 CO12:CO64 CA12:CM64</xm:sqref>
        </x14:dataValidation>
      </x14:dataValidations>
    </ext>
    <ext xmlns:x14="http://schemas.microsoft.com/office/spreadsheetml/2009/9/main" uri="{05C60535-1F16-4fd2-B633-F4F36F0B64E0}">
      <x14:sparklineGroups xmlns:xm="http://schemas.microsoft.com/office/excel/2006/main">
        <x14:sparklineGroup manualMax="0" manualMin="0" type="column" displayEmptyCellsAs="gap" maxAxisType="group" xr2:uid="{22A983DB-B366-46FE-A98B-856F60D175F5}">
          <x14:colorSeries rgb="FF0070C0"/>
          <x14:colorNegative rgb="FF000000"/>
          <x14:colorAxis rgb="FF000000"/>
          <x14:colorMarkers rgb="FF000000"/>
          <x14:colorFirst rgb="FF000000"/>
          <x14:colorLast rgb="FF000000"/>
          <x14:colorHigh rgb="FF000000"/>
          <x14:colorLow rgb="FF000000"/>
          <x14:sparklines>
            <x14:sparkline>
              <xm:f>Calculation!DW66:EA66</xm:f>
              <xm:sqref>DW7</xm:sqref>
            </x14:sparkline>
          </x14:sparklines>
        </x14:sparklineGroup>
        <x14:sparklineGroup manualMax="0" manualMin="0" type="column" displayEmptyCellsAs="gap" maxAxisType="group" xr2:uid="{1E36B6BF-6764-48A0-AA60-91A0B01FADE4}">
          <x14:colorSeries rgb="FF0070C0"/>
          <x14:colorNegative rgb="FF000000"/>
          <x14:colorAxis rgb="FF000000"/>
          <x14:colorMarkers rgb="FF000000"/>
          <x14:colorFirst rgb="FF000000"/>
          <x14:colorLast rgb="FF000000"/>
          <x14:colorHigh rgb="FF000000"/>
          <x14:colorLow rgb="FF000000"/>
          <x14:sparklines>
            <x14:sparkline>
              <xm:f>Calculation!DQ66:DU66</xm:f>
              <xm:sqref>DQ7</xm:sqref>
            </x14:sparkline>
          </x14:sparklines>
        </x14:sparklineGroup>
        <x14:sparklineGroup manualMax="0" manualMin="0" type="column" displayEmptyCellsAs="gap" maxAxisType="group" xr2:uid="{0E55F853-9034-475E-B350-EBAEC69101FF}">
          <x14:colorSeries theme="8" tint="0.249977111117893"/>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Calculation!ED66:EW66</xm:f>
              <xm:sqref>ED7</xm:sqref>
            </x14:sparkline>
            <x14:sparkline>
              <xm:f>Calculation!EE66:EX66</xm:f>
              <xm:sqref>EE7</xm:sqref>
            </x14:sparkline>
            <x14:sparkline>
              <xm:f>Calculation!EF66:EX66</xm:f>
              <xm:sqref>EF7</xm:sqref>
            </x14:sparkline>
          </x14:sparklines>
        </x14:sparklineGroup>
        <x14:sparklineGroup manualMax="0" manualMin="0" type="column" displayEmptyCellsAs="gap" high="1" minAxisType="group" maxAxisType="group" xr2:uid="{DE5F7B73-CBEB-4B21-A6AF-80C755FEB427}">
          <x14:colorSeries rgb="FF0070C0"/>
          <x14:colorNegative rgb="FF000000"/>
          <x14:colorAxis rgb="FF000000"/>
          <x14:colorMarkers rgb="FF000000"/>
          <x14:colorFirst rgb="FF000000"/>
          <x14:colorLast rgb="FF000000"/>
          <x14:colorHigh rgb="FF000000"/>
          <x14:colorLow rgb="FF000000"/>
          <x14:sparklines>
            <x14:sparkline>
              <xm:f>Calculation!DH66:DO66</xm:f>
              <xm:sqref>DH7</xm:sqref>
            </x14:sparkline>
            <x14:sparkline>
              <xm:f>Calculation!CV66:DC66</xm:f>
              <xm:sqref>CV7</xm:sqref>
            </x14:sparkline>
            <x14:sparkline>
              <xm:f>Calculation!DD66:DG66</xm:f>
              <xm:sqref>DD7</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Premises">
    <outlinePr summaryBelow="0" summaryRight="0"/>
    <pageSetUpPr autoPageBreaks="0"/>
  </sheetPr>
  <dimension ref="A1:H79"/>
  <sheetViews>
    <sheetView showGridLines="0" showZeros="0" zoomScaleNormal="100" workbookViewId="0">
      <pane ySplit="3" topLeftCell="A5" activePane="bottomLeft" state="frozen"/>
      <selection activeCell="D355" sqref="D355"/>
      <selection pane="bottomLeft" activeCell="E1" sqref="E1:E1048576"/>
    </sheetView>
  </sheetViews>
  <sheetFormatPr baseColWidth="10" defaultColWidth="11.42578125" defaultRowHeight="12.75" outlineLevelCol="1"/>
  <cols>
    <col min="1" max="1" width="1.7109375" style="5" customWidth="1"/>
    <col min="2" max="2" width="35.7109375" style="5" customWidth="1"/>
    <col min="3" max="3" width="15.7109375" style="142" customWidth="1"/>
    <col min="4" max="4" width="25.7109375" style="4" customWidth="1" collapsed="1"/>
    <col min="5" max="5" width="8.140625" style="42" hidden="1" customWidth="1" outlineLevel="1"/>
    <col min="6" max="7" width="2.7109375" style="5" customWidth="1"/>
    <col min="8" max="16384" width="11.42578125" style="5"/>
  </cols>
  <sheetData>
    <row r="1" spans="1:6" ht="5.0999999999999996" customHeight="1"/>
    <row r="2" spans="1:6" ht="25.5" customHeight="1">
      <c r="B2" s="1300" t="s">
        <v>1376</v>
      </c>
      <c r="C2" s="1301"/>
      <c r="D2" s="1301"/>
      <c r="E2" s="1301"/>
      <c r="F2" s="1301"/>
    </row>
    <row r="3" spans="1:6" ht="5.0999999999999996" customHeight="1">
      <c r="C3" s="4"/>
    </row>
    <row r="4" spans="1:6" s="13" customFormat="1" hidden="1">
      <c r="B4" s="143" t="s">
        <v>442</v>
      </c>
      <c r="C4" s="144" t="s">
        <v>61</v>
      </c>
      <c r="D4" s="2"/>
      <c r="E4" s="145"/>
    </row>
    <row r="5" spans="1:6" s="13" customFormat="1">
      <c r="B5" s="143" t="s">
        <v>553</v>
      </c>
      <c r="C5" s="146" t="s">
        <v>61</v>
      </c>
      <c r="D5" s="2"/>
      <c r="E5" s="145"/>
    </row>
    <row r="6" spans="1:6" s="13" customFormat="1">
      <c r="B6" s="143" t="s">
        <v>596</v>
      </c>
      <c r="C6" s="146">
        <v>1</v>
      </c>
      <c r="D6" s="2"/>
      <c r="E6" s="145"/>
    </row>
    <row r="7" spans="1:6" s="13" customFormat="1" ht="4.5" customHeight="1">
      <c r="A7" s="147"/>
      <c r="B7" s="147"/>
      <c r="C7" s="148"/>
      <c r="D7" s="2"/>
      <c r="E7" s="145"/>
    </row>
    <row r="8" spans="1:6" s="13" customFormat="1" ht="4.5" customHeight="1">
      <c r="A8" s="147"/>
      <c r="B8" s="147"/>
      <c r="C8" s="148"/>
      <c r="D8" s="2"/>
      <c r="E8" s="145"/>
    </row>
    <row r="9" spans="1:6" s="13" customFormat="1" ht="4.5" customHeight="1">
      <c r="C9" s="149"/>
      <c r="D9" s="2"/>
      <c r="E9" s="145"/>
    </row>
    <row r="10" spans="1:6" s="2" customFormat="1">
      <c r="B10" s="143" t="s">
        <v>597</v>
      </c>
      <c r="C10" s="150"/>
      <c r="D10" s="187">
        <v>1</v>
      </c>
      <c r="E10" s="151"/>
      <c r="F10" s="13"/>
    </row>
    <row r="11" spans="1:6" s="13" customFormat="1">
      <c r="B11" s="697" t="s">
        <v>492</v>
      </c>
      <c r="C11" s="698"/>
      <c r="D11" s="152" t="str">
        <f>$B$10&amp;" "&amp;D$10</f>
        <v>Supplier 1</v>
      </c>
      <c r="E11" s="153"/>
      <c r="F11" s="700"/>
    </row>
    <row r="12" spans="1:6" s="13" customFormat="1">
      <c r="B12" s="699" t="s">
        <v>536</v>
      </c>
      <c r="C12" s="698"/>
      <c r="D12" s="146" t="s">
        <v>87</v>
      </c>
      <c r="E12" s="154"/>
      <c r="F12" s="700"/>
    </row>
    <row r="13" spans="1:6" s="13" customFormat="1">
      <c r="B13" s="699" t="s">
        <v>537</v>
      </c>
      <c r="C13" s="698"/>
      <c r="D13" s="155">
        <v>40000</v>
      </c>
      <c r="E13" s="154"/>
      <c r="F13" s="700"/>
    </row>
    <row r="14" spans="1:6" s="13" customFormat="1">
      <c r="B14" s="699" t="s">
        <v>538</v>
      </c>
      <c r="C14" s="698" t="s">
        <v>2144</v>
      </c>
      <c r="D14" s="156"/>
      <c r="E14" s="154"/>
      <c r="F14" s="700"/>
    </row>
    <row r="15" spans="1:6" s="13" customFormat="1">
      <c r="B15" s="699" t="s">
        <v>2081</v>
      </c>
      <c r="C15" s="698" t="s">
        <v>3</v>
      </c>
      <c r="D15" s="156">
        <v>80</v>
      </c>
      <c r="E15" s="154"/>
      <c r="F15" s="700"/>
    </row>
    <row r="16" spans="1:6" s="13" customFormat="1">
      <c r="B16" s="699" t="s">
        <v>2080</v>
      </c>
      <c r="C16" s="698" t="s">
        <v>3</v>
      </c>
      <c r="D16" s="156">
        <v>80</v>
      </c>
      <c r="E16" s="154"/>
      <c r="F16" s="700"/>
    </row>
    <row r="17" spans="2:6" s="13" customFormat="1" ht="4.5" customHeight="1">
      <c r="B17" s="157"/>
      <c r="C17" s="158"/>
      <c r="D17" s="159"/>
      <c r="E17" s="159"/>
      <c r="F17" s="159"/>
    </row>
    <row r="18" spans="2:6" s="13" customFormat="1">
      <c r="B18" s="697" t="s">
        <v>541</v>
      </c>
      <c r="C18" s="701"/>
      <c r="D18" s="160" t="s">
        <v>4037</v>
      </c>
      <c r="E18" s="705">
        <f>IFERROR(MATCH(D18,LOC[Standort],0),0)</f>
        <v>1</v>
      </c>
      <c r="F18" s="700"/>
    </row>
    <row r="19" spans="2:6" s="13" customFormat="1">
      <c r="B19" s="699" t="s">
        <v>2483</v>
      </c>
      <c r="C19" s="698"/>
      <c r="D19" s="156">
        <v>300</v>
      </c>
      <c r="E19" s="683" cm="1">
        <f t="array" ref="E19">IF(E$18=0,0,IFERROR(INDEX(LOC[Arbeitstage],E$18),0))</f>
        <v>300</v>
      </c>
      <c r="F19" s="700"/>
    </row>
    <row r="20" spans="2:6" s="13" customFormat="1">
      <c r="B20" s="699" t="s">
        <v>2487</v>
      </c>
      <c r="C20" s="698"/>
      <c r="D20" s="156">
        <v>3</v>
      </c>
      <c r="E20" s="154"/>
      <c r="F20" s="700"/>
    </row>
    <row r="21" spans="2:6" s="13" customFormat="1">
      <c r="B21" s="699" t="s">
        <v>2485</v>
      </c>
      <c r="C21" s="698" t="str">
        <f>Currency&amp;"/h"</f>
        <v>EUR/h</v>
      </c>
      <c r="D21" s="146">
        <f t="shared" ref="D21:D26" si="0">E21</f>
        <v>9.41</v>
      </c>
      <c r="E21" s="682" cm="1">
        <f t="array" ref="E21">IF(E$18=0,0,IFERROR(ExchangeRate*IF(D$20=1,INDEX(LOC[M1S],E$18),IF(D$20=2,INDEX(LOC[M2S],E$18),IF(D$20=3,INDEX(LOC[M3S],E$18),0))),0))</f>
        <v>9.41</v>
      </c>
      <c r="F21" s="700"/>
    </row>
    <row r="22" spans="2:6" s="13" customFormat="1">
      <c r="B22" s="699" t="s">
        <v>2486</v>
      </c>
      <c r="C22" s="698" t="str">
        <f>Currency&amp;"/h"</f>
        <v>EUR/h</v>
      </c>
      <c r="D22" s="146">
        <f t="shared" si="0"/>
        <v>13.23</v>
      </c>
      <c r="E22" s="682" cm="1">
        <f t="array" ref="E22">IF(E$18=0,0,IFERROR(ExchangeRate*IF(D$20=1,INDEX(LOC[F1S],E$18),IF(D$20=2,INDEX(LOC[F2S],E$18),IF(D$20=3,INDEX(LOC[F3S],E$18),0))),0))</f>
        <v>13.23</v>
      </c>
      <c r="F22" s="700"/>
    </row>
    <row r="23" spans="2:6" s="13" customFormat="1">
      <c r="B23" s="699" t="s">
        <v>542</v>
      </c>
      <c r="C23" s="698" t="str">
        <f>Currency&amp;"/m²"</f>
        <v>EUR/m²</v>
      </c>
      <c r="D23" s="146">
        <f t="shared" si="0"/>
        <v>3.03</v>
      </c>
      <c r="E23" s="682" cm="1">
        <f t="array" ref="E23">IF(E$18=0,0,IFERROR(ExchangeRate*INDEX(LOC[Monatesmiete],E$18),0))</f>
        <v>3.03</v>
      </c>
      <c r="F23" s="700"/>
    </row>
    <row r="24" spans="2:6" s="13" customFormat="1">
      <c r="B24" s="699" t="s">
        <v>543</v>
      </c>
      <c r="C24" s="698" t="str">
        <f>Currency&amp;"/kWh"</f>
        <v>EUR/kWh</v>
      </c>
      <c r="D24" s="146">
        <f t="shared" si="0"/>
        <v>7.0000000000000007E-2</v>
      </c>
      <c r="E24" s="682" cm="1">
        <f t="array" ref="E24">IF(E$18=0,0,IFERROR(ExchangeRate*INDEX(LOC[Strom],E$18),0))</f>
        <v>7.0000000000000007E-2</v>
      </c>
      <c r="F24" s="700"/>
    </row>
    <row r="25" spans="2:6" s="13" customFormat="1">
      <c r="B25" s="699" t="s">
        <v>1130</v>
      </c>
      <c r="C25" s="698" t="str">
        <f>Currency&amp;"/kWh"</f>
        <v>EUR/kWh</v>
      </c>
      <c r="D25" s="146">
        <f t="shared" si="0"/>
        <v>0.02</v>
      </c>
      <c r="E25" s="682" cm="1">
        <f t="array" ref="E25">IF(E$18=0,0,IFERROR(ExchangeRate*INDEX(LOC[Erdgas],E$18),0))</f>
        <v>0.02</v>
      </c>
      <c r="F25" s="700"/>
    </row>
    <row r="26" spans="2:6" s="13" customFormat="1">
      <c r="B26" s="699" t="s">
        <v>544</v>
      </c>
      <c r="C26" s="698" t="s">
        <v>3</v>
      </c>
      <c r="D26" s="146">
        <f t="shared" si="0"/>
        <v>3.7</v>
      </c>
      <c r="E26" s="682" cm="1">
        <f t="array" ref="E26">IF(E$18=0,0,IFERROR(INDEX(LOC[Kalk. Zins],E$18),0))</f>
        <v>3.7</v>
      </c>
      <c r="F26" s="700"/>
    </row>
    <row r="27" spans="2:6" s="13" customFormat="1" ht="4.5" customHeight="1">
      <c r="B27" s="161"/>
      <c r="C27" s="158"/>
      <c r="D27" s="162"/>
      <c r="E27" s="162"/>
      <c r="F27" s="159"/>
    </row>
    <row r="28" spans="2:6" s="13" customFormat="1" hidden="1">
      <c r="B28" s="699" t="s">
        <v>2489</v>
      </c>
      <c r="C28" s="702" t="s">
        <v>3</v>
      </c>
      <c r="D28" s="146">
        <v>0</v>
      </c>
      <c r="E28" s="855">
        <f>IF(INDEX(Settings[],MATCH(3003,Settings[ID],0),2)="B",D$39,0)</f>
        <v>0</v>
      </c>
      <c r="F28" s="700"/>
    </row>
    <row r="29" spans="2:6" s="13" customFormat="1" hidden="1">
      <c r="B29" s="699" t="s">
        <v>2490</v>
      </c>
      <c r="C29" s="702" t="s">
        <v>3</v>
      </c>
      <c r="D29" s="939">
        <v>0</v>
      </c>
      <c r="E29" s="855">
        <f>IF(INDEX(Settings[],MATCH(3004,Settings[ID],0),2)="B",D$40,0)</f>
        <v>0</v>
      </c>
      <c r="F29" s="700"/>
    </row>
    <row r="30" spans="2:6" s="13" customFormat="1">
      <c r="B30" s="699" t="s">
        <v>481</v>
      </c>
      <c r="C30" s="702" t="s">
        <v>3</v>
      </c>
      <c r="D30" s="146">
        <v>1</v>
      </c>
      <c r="E30" s="154"/>
      <c r="F30" s="700"/>
    </row>
    <row r="31" spans="2:6" s="13" customFormat="1">
      <c r="B31" s="699" t="s">
        <v>210</v>
      </c>
      <c r="C31" s="702" t="s">
        <v>3</v>
      </c>
      <c r="D31" s="146">
        <v>10</v>
      </c>
      <c r="E31" s="682">
        <f>IFERROR(IndirectCosts!$BE$10+INDEX(IndirectCosts!$BE$13:$BE$16,MATCH(D$13,IndirectCosts!$BD$13:$BD$16,1))+INDEX(IndirectCosts!$BE$19:$BE$21,MATCH(D$12,IndirectCosts!$BD$19:$BD$21,0)),0)</f>
        <v>12.5</v>
      </c>
      <c r="F31" s="700"/>
    </row>
    <row r="32" spans="2:6" s="13" customFormat="1" hidden="1">
      <c r="B32" s="699" t="s">
        <v>498</v>
      </c>
      <c r="C32" s="702" t="s">
        <v>3</v>
      </c>
      <c r="D32" s="146">
        <f t="shared" ref="D32:D36" si="1">E32</f>
        <v>16</v>
      </c>
      <c r="E32" s="682">
        <f>IFERROR(IndirectCosts!$BF$10+INDEX(IndirectCosts!$BF$13:$BF$16,MATCH(D$13,IndirectCosts!$BD$13:$BD$16,1))+INDEX(IndirectCosts!$BF$19:$BF$21,MATCH(D$12,IndirectCosts!$BD$19:$BD$21,0)),0)</f>
        <v>16</v>
      </c>
      <c r="F32" s="700"/>
    </row>
    <row r="33" spans="2:6" s="13" customFormat="1" hidden="1">
      <c r="B33" s="699" t="s">
        <v>545</v>
      </c>
      <c r="C33" s="702" t="s">
        <v>3</v>
      </c>
      <c r="D33" s="146">
        <f t="shared" si="1"/>
        <v>9</v>
      </c>
      <c r="E33" s="682">
        <f>IFERROR(IndirectCosts!$BG$10+INDEX(IndirectCosts!$BG$13:$BG$16,MATCH(D$13,IndirectCosts!$BD$13:$BD$16,1))+INDEX(IndirectCosts!$BG$19:$BG$21,MATCH(D$12,IndirectCosts!$BD$19:$BD$21,0)),0)</f>
        <v>9</v>
      </c>
      <c r="F33" s="700"/>
    </row>
    <row r="34" spans="2:6" s="13" customFormat="1">
      <c r="B34" s="699" t="s">
        <v>209</v>
      </c>
      <c r="C34" s="702" t="s">
        <v>3</v>
      </c>
      <c r="D34" s="146">
        <v>6</v>
      </c>
      <c r="E34" s="682">
        <f>IFERROR(INDEX(IndirectCosts!$BE$23:$BE$26,MATCH(D$12,IndirectCosts!$BD$23:$BD$26,0)),0)</f>
        <v>6</v>
      </c>
      <c r="F34" s="700"/>
    </row>
    <row r="35" spans="2:6" s="13" customFormat="1" hidden="1">
      <c r="B35" s="699" t="s">
        <v>503</v>
      </c>
      <c r="C35" s="702" t="s">
        <v>3</v>
      </c>
      <c r="D35" s="146">
        <f t="shared" si="1"/>
        <v>10</v>
      </c>
      <c r="E35" s="682">
        <f>IFERROR(INDEX(IndirectCosts!$BF$23:$BF$26,MATCH(D$12,IndirectCosts!$BD$23:$BD$26,0)),0)</f>
        <v>10</v>
      </c>
      <c r="F35" s="700"/>
    </row>
    <row r="36" spans="2:6" s="13" customFormat="1" hidden="1">
      <c r="B36" s="699" t="s">
        <v>506</v>
      </c>
      <c r="C36" s="702" t="s">
        <v>3</v>
      </c>
      <c r="D36" s="146">
        <f t="shared" si="1"/>
        <v>1.5</v>
      </c>
      <c r="E36" s="682">
        <f>IFERROR(INDEX(IndirectCosts!$BG$23:$BG$26,MATCH(D$12,IndirectCosts!$BD$23:$BD$26,0)),0)</f>
        <v>1.5</v>
      </c>
      <c r="F36" s="700"/>
    </row>
    <row r="37" spans="2:6" s="13" customFormat="1">
      <c r="B37" s="699" t="s">
        <v>668</v>
      </c>
      <c r="C37" s="702" t="s">
        <v>3</v>
      </c>
      <c r="D37" s="146"/>
      <c r="E37" s="154"/>
      <c r="F37" s="700"/>
    </row>
    <row r="38" spans="2:6" s="13" customFormat="1" ht="4.5" customHeight="1">
      <c r="B38" s="161"/>
      <c r="C38" s="164"/>
      <c r="D38" s="159"/>
      <c r="E38" s="159"/>
      <c r="F38" s="159"/>
    </row>
    <row r="39" spans="2:6" s="13" customFormat="1">
      <c r="B39" s="699" t="s">
        <v>2491</v>
      </c>
      <c r="C39" s="702" t="s">
        <v>3</v>
      </c>
      <c r="D39" s="704">
        <f>IFERROR(SUMIF(Calculation!$CA$11:$CA$65,D$10,Calculation!$AO$11:$AO$65)
/(SUMIF(Calculation!$CA$11:$CA$65,D$10,Calculation!$J$11:$J$65)
+SUMIF(Calculation!$CA$11:$CA$65,D$10,Calculation!$R$11:$R$65)
+SUMIF(Calculation!$CA$11:$CA$65,D$10,Calculation!$V$11:$V$65)
+SUMIF(Calculation!$CA$11:$CA$65,D$10,Calculation!$AL$11:$AL$65))*100,0)</f>
        <v>12.355586771600192</v>
      </c>
      <c r="E39" s="154"/>
      <c r="F39" s="700"/>
    </row>
    <row r="40" spans="2:6" s="13" customFormat="1">
      <c r="B40" s="699" t="s">
        <v>2492</v>
      </c>
      <c r="C40" s="702" t="s">
        <v>3</v>
      </c>
      <c r="D40" s="704" cm="1">
        <f t="array" ref="D40">IFERROR((SUMPRODUCT((Calculation!$CA$11:$CA$65=D$10)*1,Calculation!$CK$11:$CK$65,Calculation!$AZ$11:$AZ$65)
+IF(D$42=0,SUMPRODUCT((Calculation!$CB$11:$CB$65=D$10)*1,(Calculation!$CD$11:$CD$65&lt;&gt;0)*1,Calculation!$CN$11:$CN$65,Calculation!$BT$11:$BT$65)
+SUMPRODUCT((Calculation!$CC$11:$CC$65=D$10)*1,(Calculation!$CD$11:$CD$65&lt;&gt;0)*1,Calculation!$CP$11:$CP$65,Calculation!$BT$11:$BT$65),0))
/(SUMPRODUCT((Calculation!$CA$11:$CA$65=D$10)*1,Calculation!$CK$11:$CK$65,(Calculation!$AU$11:$AU$65&gt;0)*1,Calculation!$AU$11:$AU$65)
+SUMPRODUCT((Calculation!$CA$11:$CA$65=D$10)*1,Calculation!$CK$11:$CK$65,Calculation!$AX$11:$AX$65)
+IF(D$42=0,SUMPRODUCT((Calculation!$CB$11:$CB$65=D$10)*1,(Calculation!$CN$11:$CN$65&lt;&gt;0)*1,(Calculation!$CD$11:$CD$65&lt;&gt;0)*1,Calculation!$BT$11:$BT$65)
+SUMPRODUCT((Calculation!$CC$11:$CC$65=D$10)*1,(Calculation!$CP$11:$CP$65&lt;&gt;0)*1,(Calculation!$CD$11:$CD$65&lt;&gt;0)*1,Calculation!$BT$11:$BT$65),0))*100,0)</f>
        <v>0.42672204014389581</v>
      </c>
      <c r="E40" s="154"/>
      <c r="F40" s="700"/>
    </row>
    <row r="41" spans="2:6" s="13" customFormat="1" hidden="1">
      <c r="B41" s="703" t="s">
        <v>1379</v>
      </c>
      <c r="C41" s="702" t="s">
        <v>3</v>
      </c>
      <c r="D41" s="639">
        <f>IF(INDEX(Settings[],MATCH(3003,Settings[ID],0),2)="A",0,IF(D$28=0,"",D$28))</f>
        <v>0</v>
      </c>
      <c r="E41" s="154"/>
      <c r="F41" s="700"/>
    </row>
    <row r="42" spans="2:6" s="13" customFormat="1" hidden="1">
      <c r="B42" s="703" t="s">
        <v>1041</v>
      </c>
      <c r="C42" s="702" t="s">
        <v>3</v>
      </c>
      <c r="D42" s="640">
        <f>IF(INDEX(Settings[],MATCH(3004,Settings[ID],0),2)="A",0,IF(D$29=0,"",D$29))</f>
        <v>0</v>
      </c>
      <c r="E42" s="154"/>
      <c r="F42" s="700"/>
    </row>
    <row r="43" spans="2:6" s="13" customFormat="1" hidden="1">
      <c r="B43" s="703" t="s">
        <v>1339</v>
      </c>
      <c r="C43" s="702"/>
      <c r="D43" s="636">
        <f>IFERROR(IndirectCosts!$T$7*(INDEX(LOC[High-skilled],MATCH(D$18,LOC[Standort],0))*ExchangeRate+(IndirectCosts!$AT$7*ExchangeRate*(1/IndirectCosts!$AU$7+IndirectCosts!$AY$7+IndirectCosts!$AZ$7))/(250*8*0.8)+D$26/100*IndirectCosts!$AT$7*ExchangeRate*0.5/(250*8*0.8)+D$24*IndirectCosts!$AV$7*IndirectCosts!$AW$7+D$23*IndirectCosts!$AX$7*12/(250*8*0.8))+IndirectCosts!$U$7*(INDEX(LOC[High-skilled],MATCH(D$18,LOC[Standort],0))*ExchangeRate+IndirectCosts!$AG$7+D$26/100*IndirectCosts!$AF$7*0.5/(250*8*0.8)+D$24*IndirectCosts!$AH$7+D$23*IndirectCosts!$AI$7*12/(250*8*0.8))+IndirectCosts!$V$7*(INDEX(LOC[High-skilled],MATCH(D$18,LOC[Standort],0))*ExchangeRate/10+INDEX(LOC[M2S],MATCH(D$18,LOC[Standort],0))*ExchangeRate+IndirectCosts!$AO$7+D$26/100*IndirectCosts!$AN$7*0.5/(250*16*0.8)+D$24*IndirectCosts!$AP$7+D$23*IndirectCosts!$AQ$7*12/(250*16*0.8)),0)</f>
        <v>21.74867604166667</v>
      </c>
      <c r="E43" s="154"/>
      <c r="F43" s="700"/>
    </row>
    <row r="44" spans="2:6" s="13" customFormat="1" hidden="1">
      <c r="B44" s="703" t="s">
        <v>1340</v>
      </c>
      <c r="C44" s="702"/>
      <c r="D44" s="635">
        <f>D$26%*IndirectCosts!$K$7/52+IndirectCosts!$K$7/52*12*0.26/1000</f>
        <v>3.0861538461538465E-3</v>
      </c>
      <c r="E44" s="154"/>
      <c r="F44" s="700"/>
    </row>
    <row r="45" spans="2:6" s="13" customFormat="1" hidden="1">
      <c r="B45" s="703" t="s">
        <v>1341</v>
      </c>
      <c r="C45" s="702"/>
      <c r="D45" s="637">
        <f>IFERROR((IndirectCosts!$K$7/52*365*24)/IndirectCosts!$L$7*IndirectCosts!$R$7*(IndirectCosts!$AK$7+Premises!D$26%*IndirectCosts!$AJ$7*0.5/(365*24)+Premises!D$24*IndirectCosts!$AL$7+Premises!D$23*IndirectCosts!$AM$7*12/(365*24)),0)</f>
        <v>1.9939153846153848E-5</v>
      </c>
      <c r="E45" s="154"/>
      <c r="F45" s="700"/>
    </row>
    <row r="46" spans="2:6" s="13" customFormat="1" hidden="1">
      <c r="B46" s="703" t="s">
        <v>1342</v>
      </c>
      <c r="C46" s="702"/>
      <c r="D46" s="636">
        <f>IFERROR(IndirectCosts!$T$8*(INDEX(LOC[High-skilled],MATCH(D$18,LOC[Standort],0))*ExchangeRate+(IndirectCosts!$AT$7*ExchangeRate*(1/IndirectCosts!$AU$7+IndirectCosts!$AY$7+IndirectCosts!$AZ$7))/(250*8*0.8)+D$26/100*IndirectCosts!$AT$7*ExchangeRate*0.5/(250*8*0.8)+D$24*IndirectCosts!$AV$7*IndirectCosts!$AW$7+D$23*IndirectCosts!$AX$7*12/(250*8*0.8))+IndirectCosts!$U$8*(INDEX(LOC[High-skilled],MATCH(D$18,LOC[Standort],0))*ExchangeRate+IndirectCosts!$AG$8+D$26/100*IndirectCosts!$AF$8*0.5/(250*8*0.8)+D$24*IndirectCosts!$AH$8+D$23*IndirectCosts!$AI$8*12/(250*8*0.8))+IndirectCosts!$V$8*(INDEX(LOC[High-skilled],MATCH(D$18,LOC[Standort],0))*ExchangeRate/10+INDEX(LOC[M2S],MATCH(D$18,LOC[Standort],0))*ExchangeRate+IndirectCosts!$AO$8+D$26/100*IndirectCosts!$AN$8*0.5/(250*16*0.8)+D$24*IndirectCosts!$AP$8+D$23*IndirectCosts!$AQ$8*12/(250*16*0.8)),0)</f>
        <v>935.12440401785705</v>
      </c>
      <c r="E46" s="154"/>
      <c r="F46" s="700"/>
    </row>
    <row r="47" spans="2:6" s="13" customFormat="1" hidden="1">
      <c r="B47" s="703" t="s">
        <v>1343</v>
      </c>
      <c r="C47" s="702"/>
      <c r="D47" s="635">
        <f>D$26%*IndirectCosts!$K$8/52+IndirectCosts!$K$8/52*12*0.26/1000</f>
        <v>3.0861538461538465E-3</v>
      </c>
      <c r="E47" s="154"/>
      <c r="F47" s="700"/>
    </row>
    <row r="48" spans="2:6" s="13" customFormat="1" hidden="1">
      <c r="B48" s="703" t="s">
        <v>1344</v>
      </c>
      <c r="C48" s="702"/>
      <c r="D48" s="637">
        <f>IFERROR((IndirectCosts!$K$8/52*365*24)/IndirectCosts!$L$8*IndirectCosts!$R$8*(IndirectCosts!$AK$8+Premises!D$26%*IndirectCosts!$AJ$8*0.5/(365*24)+Premises!D$24*IndirectCosts!$AL$8+Premises!D$23*IndirectCosts!$AM$8*12/(365*24)),0)</f>
        <v>4.0729615384615399E-2</v>
      </c>
      <c r="E48" s="154"/>
      <c r="F48" s="700"/>
    </row>
    <row r="49" spans="2:8" s="13" customFormat="1" hidden="1">
      <c r="B49" s="703" t="s">
        <v>1345</v>
      </c>
      <c r="C49" s="702"/>
      <c r="D49" s="636">
        <f>IFERROR(IndirectCosts!$T$9*(INDEX(LOC[High-skilled],MATCH(D$18,LOC[Standort],0))*ExchangeRate+(IndirectCosts!$AT$7*ExchangeRate*(1/IndirectCosts!$AU$7+IndirectCosts!$AY$7+IndirectCosts!$AZ$7))/(250*8*0.8)+D$26/100*IndirectCosts!$AT$7*ExchangeRate*0.5/(250*8*0.8)+D$24*IndirectCosts!$AV$7*IndirectCosts!$AW$7+D$23*IndirectCosts!$AX$7*12/(250*8*0.8))+IndirectCosts!$U$9*(INDEX(LOC[High-skilled],MATCH(D$18,LOC[Standort],0))*ExchangeRate+IndirectCosts!$AG$9+D$26/100*IndirectCosts!$AF$9*0.5/(250*8*0.8)+D$24*IndirectCosts!$AH$9+D$23*IndirectCosts!$AI$9*12/(250*8*0.8))+IndirectCosts!$V$9*(INDEX(LOC[High-skilled],MATCH(D$18,LOC[Standort],0))*ExchangeRate/10+INDEX(LOC[M2S],MATCH(D$18,LOC[Standort],0))*ExchangeRate+IndirectCosts!$AO$9+D$26/100*IndirectCosts!$AN$9*0.5/(250*16*0.8)+D$24*IndirectCosts!$AP$9+D$23*IndirectCosts!$AQ$9*12/(250*16*0.8)),0)</f>
        <v>2424.0069345238094</v>
      </c>
      <c r="E49" s="154"/>
      <c r="F49" s="700"/>
    </row>
    <row r="50" spans="2:8" s="13" customFormat="1" hidden="1">
      <c r="B50" s="703" t="s">
        <v>1346</v>
      </c>
      <c r="C50" s="702"/>
      <c r="D50" s="635">
        <f>D$26%*IndirectCosts!$K$9/52+IndirectCosts!$K$9/52*12*0.26/1000</f>
        <v>3.0861538461538465E-3</v>
      </c>
      <c r="E50" s="154"/>
      <c r="F50" s="700"/>
    </row>
    <row r="51" spans="2:8" s="13" customFormat="1" hidden="1">
      <c r="B51" s="703" t="s">
        <v>1347</v>
      </c>
      <c r="C51" s="702"/>
      <c r="D51" s="637">
        <f>IFERROR((IndirectCosts!$K$9/52*365*24)/IndirectCosts!$L$9*IndirectCosts!$R$9*(IndirectCosts!$AK$9+Premises!D$26%*IndirectCosts!$AJ$9*0.5/(365*24)+Premises!D$24*IndirectCosts!$AL$9+Premises!D$23*IndirectCosts!$AM$9*12/(365*24)),0)</f>
        <v>1.993915384615385E-2</v>
      </c>
      <c r="E51" s="154"/>
      <c r="F51" s="700"/>
    </row>
    <row r="52" spans="2:8" s="13" customFormat="1" hidden="1">
      <c r="B52" s="703" t="s">
        <v>136</v>
      </c>
      <c r="C52" s="702"/>
      <c r="D52" s="638">
        <f>((D30%+(1+D30%)*D42%)*(1+IF(INDEX(Settings[],MATCH(3001,Settings[ID],0),2)="B",D33%,D31%))+IF(INDEX(Settings[],MATCH(3001,Settings[ID],0),2)="B",D33%,D31%)+IF(INDEX(Settings[],MATCH(3002,Settings[ID],0),2)="B",D36%,D34%))*(1+D37%)+D37%</f>
        <v>0.17099999999999999</v>
      </c>
      <c r="E52" s="165"/>
      <c r="F52" s="700"/>
    </row>
    <row r="53" spans="2:8" s="13" customFormat="1" ht="4.5" hidden="1" customHeight="1">
      <c r="B53" s="161"/>
      <c r="C53" s="164"/>
      <c r="D53" s="159"/>
      <c r="E53" s="159"/>
      <c r="F53" s="159"/>
    </row>
    <row r="54" spans="2:8" s="13" customFormat="1" hidden="1">
      <c r="B54" s="699" t="s">
        <v>1524</v>
      </c>
      <c r="C54" s="702"/>
      <c r="D54" s="166"/>
      <c r="E54" s="705"/>
      <c r="F54" s="700"/>
    </row>
    <row r="55" spans="2:8" s="13" customFormat="1" hidden="1">
      <c r="B55" s="699" t="s">
        <v>1525</v>
      </c>
      <c r="C55" s="698" t="str">
        <f>Currency&amp;"/kWh"</f>
        <v>EUR/kWh</v>
      </c>
      <c r="D55" s="641"/>
      <c r="E55" s="845"/>
      <c r="F55" s="700"/>
      <c r="G55" s="167"/>
    </row>
    <row r="56" spans="2:8" s="13" customFormat="1" hidden="1">
      <c r="B56" s="699" t="s">
        <v>3335</v>
      </c>
      <c r="C56" s="702" t="s">
        <v>1413</v>
      </c>
      <c r="D56" s="704"/>
      <c r="E56" s="165"/>
      <c r="F56" s="700"/>
    </row>
    <row r="57" spans="2:8" s="13" customFormat="1" hidden="1">
      <c r="B57" s="699" t="s">
        <v>2078</v>
      </c>
      <c r="C57" s="702" t="s">
        <v>1413</v>
      </c>
      <c r="D57" s="704"/>
      <c r="E57" s="165"/>
      <c r="F57" s="700"/>
    </row>
    <row r="58" spans="2:8" s="13" customFormat="1" ht="2.25" hidden="1" customHeight="1">
      <c r="B58" s="161"/>
      <c r="C58" s="164"/>
      <c r="D58" s="168"/>
      <c r="E58" s="159"/>
      <c r="F58" s="159"/>
    </row>
    <row r="59" spans="2:8" s="13" customFormat="1" hidden="1">
      <c r="B59" s="699" t="s">
        <v>2076</v>
      </c>
      <c r="C59" s="702" t="s">
        <v>2090</v>
      </c>
      <c r="D59" s="642" cm="1">
        <f t="array" ref="D59">IFERROR(SUMPRODUCT((Calculation!$CA$11:$CA$65=D$10)*1,(Calculation!$CE$11:$CE$65&lt;&gt;0)*1,Calculation!$EL$11:$EL$65),0)</f>
        <v>0</v>
      </c>
      <c r="E59" s="165"/>
      <c r="F59" s="700"/>
      <c r="H59" s="169"/>
    </row>
    <row r="60" spans="2:8" s="13" customFormat="1" hidden="1">
      <c r="B60" s="699" t="s">
        <v>2077</v>
      </c>
      <c r="C60" s="702" t="s">
        <v>2090</v>
      </c>
      <c r="D60" s="642" cm="1">
        <f t="array" ref="D60">IFERROR(SUMPRODUCT((Calculation!$CA$11:$CA$65=D$10)*1,(Calculation!$CE$11:$CE$65&lt;&gt;0)*1,Calculation!$EQ$11:$EQ$65)*(INDEX(Settings[],MATCH(3010,Settings[ID],0),2)=1),0)</f>
        <v>0</v>
      </c>
      <c r="E60" s="165"/>
      <c r="F60" s="700"/>
    </row>
    <row r="61" spans="2:8" s="13" customFormat="1" hidden="1">
      <c r="B61" s="699" t="s">
        <v>2140</v>
      </c>
      <c r="C61" s="702" t="s">
        <v>2090</v>
      </c>
      <c r="D61" s="642" cm="1">
        <f t="array" ref="D61">IFERROR(SUMPRODUCT((Calculation!$CB$11:$CB$65=D$10)*1,Calculation!$EW$11:$EW$65)
+SUMPRODUCT((Calculation!$CC$11:$CC$65=D$10)*1,(Calculation!$CB$11:$CB$65=0)*1,Calculation!$EW$11:$EW$65),0)</f>
        <v>0</v>
      </c>
      <c r="E61" s="165"/>
      <c r="F61" s="700"/>
    </row>
    <row r="62" spans="2:8" s="13" customFormat="1" hidden="1">
      <c r="B62" s="697" t="s">
        <v>2141</v>
      </c>
      <c r="C62" s="702" t="s">
        <v>2090</v>
      </c>
      <c r="D62" s="643">
        <f>SUM(D$59:D$61)</f>
        <v>0</v>
      </c>
      <c r="E62" s="165"/>
      <c r="F62" s="700"/>
      <c r="H62" s="169"/>
    </row>
    <row r="63" spans="2:8" s="13" customFormat="1" ht="2.25" hidden="1" customHeight="1">
      <c r="B63" s="170"/>
      <c r="C63" s="164"/>
      <c r="D63" s="168"/>
      <c r="E63" s="159"/>
      <c r="F63" s="159"/>
    </row>
    <row r="64" spans="2:8" s="13" customFormat="1" hidden="1">
      <c r="B64" s="699" t="s">
        <v>2176</v>
      </c>
      <c r="C64" s="702" t="str">
        <f>Currency</f>
        <v>EUR</v>
      </c>
      <c r="D64" s="641">
        <f>IFERROR(D$62/1000/1000*INDEX(LOC[CO2-Steuer],E$18)*ExchangeRate*(INDEX(Settings[],MATCH(3012,Settings[ID],0),2)=1),0)</f>
        <v>0</v>
      </c>
      <c r="E64" s="165"/>
      <c r="F64" s="700"/>
      <c r="H64" s="169"/>
    </row>
    <row r="65" spans="2:8" s="13" customFormat="1" ht="4.5" hidden="1" customHeight="1">
      <c r="B65" s="170"/>
      <c r="C65" s="164"/>
      <c r="D65" s="159"/>
      <c r="E65" s="159"/>
      <c r="F65" s="159"/>
    </row>
    <row r="66" spans="2:8" s="13" customFormat="1" hidden="1">
      <c r="B66" s="699" t="s">
        <v>2136</v>
      </c>
      <c r="C66" s="702" t="s">
        <v>2139</v>
      </c>
      <c r="D66" s="171">
        <f t="shared" ref="D66:D71" si="2">E66</f>
        <v>31.440387000000001</v>
      </c>
      <c r="E66" s="682" cm="1">
        <f t="array" ref="E66">IF(E$18=0,0,INDEX(LOC[Lat],E$18))</f>
        <v>31.440387000000001</v>
      </c>
      <c r="F66" s="700"/>
    </row>
    <row r="67" spans="2:8" s="13" customFormat="1" hidden="1">
      <c r="B67" s="699" t="s">
        <v>2137</v>
      </c>
      <c r="C67" s="702" t="s">
        <v>2139</v>
      </c>
      <c r="D67" s="171">
        <f t="shared" si="2"/>
        <v>114.91974</v>
      </c>
      <c r="E67" s="682" cm="1">
        <f t="array" ref="E67">IF(E$18=0,0,INDEX(LOC[Long],E$18))</f>
        <v>114.91974</v>
      </c>
      <c r="F67" s="700"/>
    </row>
    <row r="68" spans="2:8" s="13" customFormat="1" hidden="1">
      <c r="B68" s="699" t="s">
        <v>2143</v>
      </c>
      <c r="C68" s="702" t="s">
        <v>2134</v>
      </c>
      <c r="D68" s="172">
        <f t="shared" si="2"/>
        <v>725</v>
      </c>
      <c r="E68" s="683" cm="1">
        <f t="array" ref="E68">IF(E$18=0,0,INDEX(LOC[Hafen],E$18))</f>
        <v>725</v>
      </c>
      <c r="F68" s="700"/>
    </row>
    <row r="69" spans="2:8" s="13" customFormat="1" hidden="1">
      <c r="B69" s="699" t="s">
        <v>2493</v>
      </c>
      <c r="C69" s="702" t="s">
        <v>2134</v>
      </c>
      <c r="D69" s="172">
        <f t="shared" si="2"/>
        <v>100</v>
      </c>
      <c r="E69" s="683">
        <v>100</v>
      </c>
      <c r="F69" s="700"/>
    </row>
    <row r="70" spans="2:8" s="13" customFormat="1" hidden="1">
      <c r="B70" s="699" t="s">
        <v>2494</v>
      </c>
      <c r="C70" s="702" t="s">
        <v>2134</v>
      </c>
      <c r="D70" s="172">
        <f t="shared" si="2"/>
        <v>25</v>
      </c>
      <c r="E70" s="683">
        <v>25</v>
      </c>
      <c r="F70" s="700"/>
    </row>
    <row r="71" spans="2:8" s="13" customFormat="1" hidden="1">
      <c r="B71" s="699" t="s">
        <v>2665</v>
      </c>
      <c r="C71" s="698" t="str">
        <f>Currency&amp;"/Liter"</f>
        <v>EUR/Liter</v>
      </c>
      <c r="D71" s="154">
        <f t="shared" si="2"/>
        <v>1.131</v>
      </c>
      <c r="E71" s="682" cm="1">
        <f t="array" ref="E71">IF(E$18=0,0,INDEX(LOC[Diesel],E$18))</f>
        <v>1.131</v>
      </c>
      <c r="F71" s="700"/>
    </row>
    <row r="72" spans="2:8" s="13" customFormat="1" ht="4.5" hidden="1" customHeight="1">
      <c r="B72" s="161"/>
      <c r="C72" s="164"/>
      <c r="D72" s="159"/>
      <c r="E72" s="159"/>
      <c r="F72" s="159"/>
    </row>
    <row r="73" spans="2:8" s="13" customFormat="1" hidden="1">
      <c r="B73" s="703" t="s">
        <v>3228</v>
      </c>
      <c r="C73" s="702" t="str">
        <f>Currency</f>
        <v>EUR</v>
      </c>
      <c r="D73" s="641"/>
      <c r="E73" s="165"/>
      <c r="F73" s="700"/>
      <c r="H73" s="169"/>
    </row>
    <row r="74" spans="2:8" s="13" customFormat="1" hidden="1">
      <c r="B74" s="703" t="s">
        <v>2245</v>
      </c>
      <c r="C74" s="702" t="str">
        <f>Currency</f>
        <v>EUR</v>
      </c>
      <c r="D74" s="641"/>
      <c r="E74" s="165"/>
      <c r="F74" s="700"/>
      <c r="H74" s="169"/>
    </row>
    <row r="75" spans="2:8" s="13" customFormat="1" hidden="1">
      <c r="B75" s="703" t="s">
        <v>2293</v>
      </c>
      <c r="C75" s="702" t="str">
        <f>Currency</f>
        <v>EUR</v>
      </c>
      <c r="D75" s="641"/>
      <c r="E75" s="165"/>
      <c r="F75" s="700"/>
      <c r="H75" s="169"/>
    </row>
    <row r="76" spans="2:8" s="13" customFormat="1" hidden="1">
      <c r="B76" s="1030" t="s">
        <v>2133</v>
      </c>
      <c r="C76" s="702" t="str">
        <f>Currency</f>
        <v>EUR</v>
      </c>
      <c r="D76" s="641"/>
      <c r="E76" s="165"/>
      <c r="F76" s="700"/>
      <c r="H76" s="169"/>
    </row>
    <row r="77" spans="2:8" s="13" customFormat="1" ht="4.5" customHeight="1">
      <c r="B77" s="170"/>
      <c r="C77" s="164"/>
      <c r="D77" s="159"/>
      <c r="E77" s="159"/>
      <c r="F77" s="159"/>
      <c r="H77" s="169"/>
    </row>
    <row r="78" spans="2:8" s="13" customFormat="1">
      <c r="B78" s="699" t="s">
        <v>547</v>
      </c>
      <c r="C78" s="702"/>
      <c r="D78" s="173" t="s">
        <v>49</v>
      </c>
      <c r="E78" s="154"/>
      <c r="F78" s="700"/>
      <c r="H78" s="169"/>
    </row>
    <row r="79" spans="2:8" s="13" customFormat="1">
      <c r="B79" s="699" t="s">
        <v>546</v>
      </c>
      <c r="C79" s="702" t="s">
        <v>93</v>
      </c>
      <c r="D79" s="644">
        <f>IFERROR((D$19*D$20*8*60*60/D$13)*D$15/100,0)</f>
        <v>518.4</v>
      </c>
      <c r="E79" s="154"/>
      <c r="F79" s="700"/>
      <c r="H79" s="169"/>
    </row>
  </sheetData>
  <mergeCells count="1">
    <mergeCell ref="B2:F2"/>
  </mergeCells>
  <dataValidations count="5">
    <dataValidation type="list" allowBlank="1" showInputMessage="1" sqref="D18" xr:uid="{00000000-0002-0000-0400-000000000000}">
      <formula1>LOC_Dropdown</formula1>
    </dataValidation>
    <dataValidation type="list" allowBlank="1" showInputMessage="1" showErrorMessage="1" sqref="D20" xr:uid="{00000000-0002-0000-0400-000001000000}">
      <formula1>"1,2,3"</formula1>
    </dataValidation>
    <dataValidation type="list" allowBlank="1" showInputMessage="1" showErrorMessage="1" sqref="D12" xr:uid="{00000000-0002-0000-0400-000002000000}">
      <formula1>"high innovative product, system supplier, build to print"</formula1>
    </dataValidation>
    <dataValidation type="list" allowBlank="1" showDropDown="1" showInputMessage="1" showErrorMessage="1" sqref="C4" xr:uid="{A310D98B-A7EA-45CC-A6E2-F529D850A93E}">
      <formula1>"EUR"</formula1>
    </dataValidation>
    <dataValidation type="list" allowBlank="1" showInputMessage="1" showErrorMessage="1" sqref="D54" xr:uid="{27355B11-1516-4AD9-A1C4-196D11BB21E5}">
      <formula1>CO2EnergyMix_Dropdown</formula1>
    </dataValidation>
  </dataValidations>
  <pageMargins left="0.39370078740157483" right="0.39370078740157483" top="0.98425196850393704" bottom="0.78740157480314965" header="0.51181102362204722" footer="0.51181102362204722"/>
  <pageSetup paperSize="9"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xr:uid="{CB9A3606-039C-43D6-902F-041B7DFF3295}">
          <x14:formula1>
            <xm:f>Translation!$E$3:$E$7</xm:f>
          </x14:formula1>
          <xm:sqref>D78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DBFD5-9C9B-4B28-9965-5522DC823487}">
  <sheetPr codeName="TabAnalysis"/>
  <dimension ref="B2:I37"/>
  <sheetViews>
    <sheetView showGridLines="0" showZeros="0" tabSelected="1" topLeftCell="A7" workbookViewId="0">
      <selection activeCell="Z11" sqref="Z11"/>
    </sheetView>
  </sheetViews>
  <sheetFormatPr baseColWidth="10" defaultColWidth="11.42578125" defaultRowHeight="12.75" outlineLevelCol="1"/>
  <cols>
    <col min="1" max="1" width="2.7109375" style="5" customWidth="1"/>
    <col min="2" max="2" width="28.7109375" style="5" hidden="1" customWidth="1" outlineLevel="1"/>
    <col min="3" max="3" width="10.7109375" style="5" hidden="1" customWidth="1" outlineLevel="1"/>
    <col min="4" max="4" width="2.7109375" style="5" hidden="1" customWidth="1" outlineLevel="1"/>
    <col min="5" max="5" width="28.7109375" style="5" bestFit="1" customWidth="1" collapsed="1"/>
    <col min="6" max="7" width="5.7109375" style="885" customWidth="1"/>
    <col min="8" max="9" width="10.7109375" style="5" customWidth="1"/>
    <col min="10" max="16384" width="11.42578125" style="5"/>
  </cols>
  <sheetData>
    <row r="2" spans="2:9">
      <c r="B2" s="279" t="s">
        <v>2444</v>
      </c>
      <c r="C2" s="857">
        <v>1</v>
      </c>
      <c r="E2" s="280" t="s">
        <v>1930</v>
      </c>
      <c r="F2" s="884" t="s">
        <v>2329</v>
      </c>
      <c r="G2" s="886" t="s">
        <v>130</v>
      </c>
      <c r="H2" s="281" t="s">
        <v>2498</v>
      </c>
      <c r="I2" s="278" t="s">
        <v>37</v>
      </c>
    </row>
    <row r="3" spans="2:9">
      <c r="B3" s="282" t="s">
        <v>3450</v>
      </c>
      <c r="C3" s="283" cm="1">
        <f t="array" ref="C3">SUMPRODUCT(IFERROR(Calculation!J$11:J$65*1,0)*(Calculation!$CK$11:$CK$65)*(Calculation!$CA$11:$CA$65=$C$2)*(Calculation!$CD$11:$CD$65&gt;0))</f>
        <v>0.43000520680000826</v>
      </c>
      <c r="E3" s="282" t="s">
        <v>3450</v>
      </c>
      <c r="F3" s="881">
        <v>0</v>
      </c>
      <c r="G3" s="881">
        <f>CostSplit1[[#This Row],[Basis]]+CostSplit1[[#This Row],[Wert]]</f>
        <v>0.43000520680000826</v>
      </c>
      <c r="H3" s="283">
        <f t="shared" ref="H3:H10" si="0">C3</f>
        <v>0.43000520680000826</v>
      </c>
      <c r="I3" s="278">
        <f>CostSplit1[[#This Row],[Wert]]</f>
        <v>0.43000520680000826</v>
      </c>
    </row>
    <row r="4" spans="2:9">
      <c r="B4" s="282" t="s">
        <v>1387</v>
      </c>
      <c r="C4" s="283" cm="1">
        <f t="array" ref="C4">SUMPRODUCT(IFERROR(Calculation!R$11:R$65*1,0)*(Calculation!$CK$11:$CK$65)*(Calculation!$CA$11:$CA$65=$C$2)*(Calculation!$CD$11:$CD$65&gt;0))</f>
        <v>6.7870461777733745E-2</v>
      </c>
      <c r="E4" s="282" t="s">
        <v>1387</v>
      </c>
      <c r="F4" s="881">
        <f>H3</f>
        <v>0.43000520680000826</v>
      </c>
      <c r="G4" s="881">
        <f>CostSplit1[[#This Row],[Basis]]+CostSplit1[[#This Row],[Wert]]</f>
        <v>0.49787566857774201</v>
      </c>
      <c r="H4" s="283">
        <f t="shared" si="0"/>
        <v>6.7870461777733745E-2</v>
      </c>
      <c r="I4" s="278">
        <f>CostSplit1[[#This Row],[Wert]]</f>
        <v>6.7870461777733745E-2</v>
      </c>
    </row>
    <row r="5" spans="2:9">
      <c r="B5" s="282" t="s">
        <v>440</v>
      </c>
      <c r="C5" s="283" cm="1">
        <f t="array" ref="C5">SUMPRODUCT(IFERROR(Calculation!V$11:V$65*1,0)*(Calculation!$CK$11:$CK$65)*(Calculation!$CA$11:$CA$65=$C$2)*(Calculation!$CD$11:$CD$65&gt;0))</f>
        <v>0.45173990162037037</v>
      </c>
      <c r="E5" s="282" t="s">
        <v>440</v>
      </c>
      <c r="F5" s="881">
        <f>F4+H4</f>
        <v>0.49787566857774201</v>
      </c>
      <c r="G5" s="881">
        <f>CostSplit1[[#This Row],[Basis]]+CostSplit1[[#This Row],[Wert]]</f>
        <v>0.94961557019811238</v>
      </c>
      <c r="H5" s="283">
        <f t="shared" si="0"/>
        <v>0.45173990162037037</v>
      </c>
      <c r="I5" s="278">
        <f>CostSplit1[[#This Row],[Wert]]</f>
        <v>0.45173990162037037</v>
      </c>
    </row>
    <row r="6" spans="2:9">
      <c r="B6" s="282" t="s">
        <v>1388</v>
      </c>
      <c r="C6" s="283" cm="1">
        <f t="array" ref="C6">SUMPRODUCT(IFERROR(Calculation!AA$11:AA$65*1,0)*(Calculation!$CK$11:$CK$65)*(Calculation!$CA$11:$CA$65=$C$2)*(Calculation!$CD$11:$CD$65&gt;0))</f>
        <v>0</v>
      </c>
      <c r="E6" s="282" t="s">
        <v>1388</v>
      </c>
      <c r="F6" s="881">
        <f>F5+H5</f>
        <v>0.94961557019811238</v>
      </c>
      <c r="G6" s="881">
        <f>CostSplit1[[#This Row],[Basis]]+CostSplit1[[#This Row],[Wert]]</f>
        <v>0.94961557019811238</v>
      </c>
      <c r="H6" s="283">
        <f t="shared" si="0"/>
        <v>0</v>
      </c>
      <c r="I6" s="278">
        <f>CostSplit1[[#This Row],[Wert]]</f>
        <v>0</v>
      </c>
    </row>
    <row r="7" spans="2:9">
      <c r="B7" s="282" t="s">
        <v>1389</v>
      </c>
      <c r="C7" s="283" cm="1">
        <f t="array" ref="C7">SUMPRODUCT(IFERROR(Calculation!AF$11:AF$65*1,0)*(Calculation!$CK$11:$CK$65)*(Calculation!$CA$11:$CA$65=$C$2)*(Calculation!$CD$11:$CD$65&gt;0))</f>
        <v>0</v>
      </c>
      <c r="E7" s="282" t="s">
        <v>1389</v>
      </c>
      <c r="F7" s="881">
        <f>F6+H6</f>
        <v>0.94961557019811238</v>
      </c>
      <c r="G7" s="881">
        <f>CostSplit1[[#This Row],[Basis]]+CostSplit1[[#This Row],[Wert]]</f>
        <v>0.94961557019811238</v>
      </c>
      <c r="H7" s="283">
        <f t="shared" si="0"/>
        <v>0</v>
      </c>
      <c r="I7" s="278">
        <f>CostSplit1[[#This Row],[Wert]]</f>
        <v>0</v>
      </c>
    </row>
    <row r="8" spans="2:9">
      <c r="B8" s="284" t="s">
        <v>1396</v>
      </c>
      <c r="C8" s="283" cm="1">
        <f t="array" ref="C8">SUMPRODUCT(IFERROR(Calculation!AL$11:AL$65*1,0)*(Calculation!$CK$11:$CK$65)*(Calculation!$CA$11:$CA$65=$C$2)*(Calculation!$CD$11:$CD$65&gt;0))</f>
        <v>8.8174510842037868E-3</v>
      </c>
      <c r="E8" s="282" t="s">
        <v>1396</v>
      </c>
      <c r="F8" s="881">
        <f>F7+H7</f>
        <v>0.94961557019811238</v>
      </c>
      <c r="G8" s="881">
        <f>CostSplit1[[#This Row],[Basis]]+CostSplit1[[#This Row],[Wert]]</f>
        <v>0.95843302128231622</v>
      </c>
      <c r="H8" s="283">
        <f t="shared" si="0"/>
        <v>8.8174510842037868E-3</v>
      </c>
      <c r="I8" s="278">
        <f>CostSplit1[[#This Row],[Wert]]</f>
        <v>8.8174510842037868E-3</v>
      </c>
    </row>
    <row r="9" spans="2:9">
      <c r="B9" s="282" t="s">
        <v>1390</v>
      </c>
      <c r="C9" s="283" cm="1">
        <f t="array" ref="C9">SUMPRODUCT(IFERROR(Calculation!AO$11:AO$65*1,0)*(Calculation!$CK$11:$CK$65)*(Calculation!$CA$11:$CA$65=$C$2)*(Calculation!$CD$11:$CD$65&gt;0))</f>
        <v>0.11842002359220592</v>
      </c>
      <c r="E9" s="282" t="s">
        <v>1390</v>
      </c>
      <c r="F9" s="881">
        <f>F8+H8</f>
        <v>0.95843302128231622</v>
      </c>
      <c r="G9" s="881">
        <f>CostSplit1[[#This Row],[Basis]]+CostSplit1[[#This Row],[Wert]]</f>
        <v>1.0768530448745222</v>
      </c>
      <c r="H9" s="283">
        <f t="shared" si="0"/>
        <v>0.11842002359220592</v>
      </c>
      <c r="I9" s="278">
        <f>CostSplit1[[#This Row],[Wert]]</f>
        <v>0.11842002359220592</v>
      </c>
    </row>
    <row r="10" spans="2:9">
      <c r="B10" s="285" t="s">
        <v>1397</v>
      </c>
      <c r="C10" s="286" cm="1">
        <f t="array" ref="C10">SUMPRODUCT(IFERROR(Calculation!AP$11:AP$65*1,0)*(Calculation!$CK$11:$CK$65)*(Calculation!$CA$11:$CA$65=$C$2)*(Calculation!$CD$11:$CD$65&gt;0))</f>
        <v>1.0768530448745222</v>
      </c>
      <c r="E10" s="285" t="s">
        <v>1397</v>
      </c>
      <c r="F10" s="881">
        <v>0</v>
      </c>
      <c r="G10" s="881">
        <f>CostSplit1[[#This Row],[Basis]]+CostSplit1[[#This Row],[Wert]]</f>
        <v>1.0768530448745222</v>
      </c>
      <c r="H10" s="286">
        <f t="shared" si="0"/>
        <v>1.0768530448745222</v>
      </c>
      <c r="I10" s="278">
        <f>CostSplit1[[#This Row],[Wert]]</f>
        <v>1.0768530448745222</v>
      </c>
    </row>
    <row r="11" spans="2:9">
      <c r="B11" s="282" t="s">
        <v>1391</v>
      </c>
      <c r="C11" s="283" cm="1">
        <f t="array" ref="C11">SUMPRODUCT(IFERROR(Calculation!AU$11:AU$65*1,0)*(Calculation!$CK$11:$CK$65)*(Calculation!$CA$11:$CA$65=$C$2)*(Calculation!$CD$11:$CD$65&gt;0))</f>
        <v>16.919265039471998</v>
      </c>
      <c r="E11" s="282" t="s">
        <v>1391</v>
      </c>
      <c r="F11" s="881">
        <f>H10</f>
        <v>1.0768530448745222</v>
      </c>
      <c r="G11" s="881">
        <f>CostSplit1[[#This Row],[Basis]]+CostSplit1[[#This Row],[Wert]]</f>
        <v>17.99611808434652</v>
      </c>
      <c r="H11" s="283">
        <f>$C$11+$C$12</f>
        <v>16.919265039471998</v>
      </c>
      <c r="I11" s="278">
        <f>CostSplit1[[#This Row],[Wert]]</f>
        <v>16.919265039471998</v>
      </c>
    </row>
    <row r="12" spans="2:9">
      <c r="B12" s="282" t="s">
        <v>1393</v>
      </c>
      <c r="C12" s="283" cm="1">
        <f t="array" ref="C12">SUMPRODUCT(Calculation!$BT$11:$BT$65*(Calculation!$CB$11:$CB$65=$C$2)*(Calculation!$CD$11:$CD$65&gt;0))
+SUMPRODUCT(Calculation!$DP$11:$DU$65*(Calculation!$CC$11:$CC$65=$C$2)*(Calculation!$CD$11:$CD$65&gt;0))</f>
        <v>0</v>
      </c>
      <c r="E12" s="282" t="s">
        <v>1392</v>
      </c>
      <c r="F12" s="881">
        <f>F11+H11</f>
        <v>17.99611808434652</v>
      </c>
      <c r="G12" s="881">
        <f>CostSplit1[[#This Row],[Basis]]+CostSplit1[[#This Row],[Wert]]</f>
        <v>18.16531073474124</v>
      </c>
      <c r="H12" s="283">
        <f>C13</f>
        <v>0.16919265039472003</v>
      </c>
      <c r="I12" s="278">
        <f>CostSplit1[[#This Row],[Wert]]</f>
        <v>0.16919265039472003</v>
      </c>
    </row>
    <row r="13" spans="2:9">
      <c r="B13" s="282" t="s">
        <v>1392</v>
      </c>
      <c r="C13" s="283" cm="1">
        <f t="array" ref="C13">SUMPRODUCT(Calculation!DE$11:DE$65*(Calculation!$CA$11:$CA$65=$C$2)*(Calculation!$CD$11:$CD$65&gt;0))
+C12*(INDEX(Premises!$A$30:$V$30,1,MATCH($C$2,Premises!$A$10:$V$10))/100)</f>
        <v>0.16919265039472003</v>
      </c>
      <c r="E13" s="282" t="s">
        <v>1398</v>
      </c>
      <c r="F13" s="881">
        <f>F12+H12</f>
        <v>18.16531073474124</v>
      </c>
      <c r="G13" s="881">
        <f>CostSplit1[[#This Row],[Basis]]+CostSplit1[[#This Row],[Wert]]</f>
        <v>18.238230950024565</v>
      </c>
      <c r="H13" s="283">
        <f>C14</f>
        <v>7.2920215283325707E-2</v>
      </c>
      <c r="I13" s="278">
        <f>CostSplit1[[#This Row],[Wert]]</f>
        <v>7.2920215283325707E-2</v>
      </c>
    </row>
    <row r="14" spans="2:9">
      <c r="B14" s="282" t="s">
        <v>1398</v>
      </c>
      <c r="C14" s="283" cm="1">
        <f t="array" ref="C14">SUMPRODUCT(Calculation!DF$11:DF$65*(Calculation!$CA$11:$CA$65=$C$2)*(Calculation!$CD$11:$CD$65&gt;0))
+SUMPRODUCT(Calculation!DR$11:DR$65*(Calculation!$CB$11:$CB$65=$C$2)*(Calculation!$CD$11:$CD$65&gt;0))
+SUMPRODUCT(Calculation!DX$11:DX$65*(Calculation!$CC$11:$CC$65=$C$2)*(Calculation!$CD$11:$CD$65&gt;0))</f>
        <v>7.2920215283325707E-2</v>
      </c>
      <c r="E14" s="285" t="s">
        <v>496</v>
      </c>
      <c r="F14" s="881">
        <f>+H10</f>
        <v>1.0768530448745222</v>
      </c>
      <c r="G14" s="881">
        <f>CostSplit1[[#This Row],[Basis]]+CostSplit1[[#This Row],[Wert]]</f>
        <v>18.238230950024565</v>
      </c>
      <c r="H14" s="283">
        <f>C15</f>
        <v>17.161377905150044</v>
      </c>
      <c r="I14" s="278">
        <f>CostSplit1[[#This Row],[Wert]]</f>
        <v>17.161377905150044</v>
      </c>
    </row>
    <row r="15" spans="2:9">
      <c r="B15" s="285" t="s">
        <v>496</v>
      </c>
      <c r="C15" s="286">
        <f>SUM(C11:C14)</f>
        <v>17.161377905150044</v>
      </c>
      <c r="E15" s="287" t="s">
        <v>489</v>
      </c>
      <c r="F15" s="881">
        <v>0</v>
      </c>
      <c r="G15" s="881">
        <f>CostSplit1[[#This Row],[Basis]]+CostSplit1[[#This Row],[Wert]]</f>
        <v>18.238230950024565</v>
      </c>
      <c r="H15" s="286">
        <f>C16</f>
        <v>18.238230950024565</v>
      </c>
      <c r="I15" s="278">
        <f>CostSplit1[[#This Row],[Wert]]</f>
        <v>18.238230950024565</v>
      </c>
    </row>
    <row r="16" spans="2:9">
      <c r="B16" s="287" t="s">
        <v>489</v>
      </c>
      <c r="C16" s="286">
        <f>C10+C15</f>
        <v>18.238230950024565</v>
      </c>
      <c r="E16" s="288" t="s">
        <v>210</v>
      </c>
      <c r="F16" s="881">
        <f>H15</f>
        <v>18.238230950024565</v>
      </c>
      <c r="G16" s="881">
        <f>CostSplit1[[#This Row],[Basis]]+CostSplit1[[#This Row],[Wert]]</f>
        <v>20.061172299918603</v>
      </c>
      <c r="H16" s="283">
        <f>SUM($C$17:$C$19)</f>
        <v>1.8229413498940366</v>
      </c>
      <c r="I16" s="278">
        <f>CostSplit1[[#This Row],[Wert]]</f>
        <v>1.8229413498940366</v>
      </c>
    </row>
    <row r="17" spans="2:9">
      <c r="B17" s="289" t="s">
        <v>498</v>
      </c>
      <c r="C17" s="283" cm="1">
        <f t="array" ref="C17">SUMPRODUCT(Calculation!DI$11:DI$65*(Calculation!$CA$11:$CA$65=$C$2)*(Calculation!$CD$11:$CD$65&gt;0))</f>
        <v>0</v>
      </c>
      <c r="E17" s="288" t="s">
        <v>209</v>
      </c>
      <c r="F17" s="881">
        <f>F16+H16</f>
        <v>20.061172299918603</v>
      </c>
      <c r="G17" s="881">
        <f>CostSplit1[[#This Row],[Basis]]+CostSplit1[[#This Row],[Wert]]</f>
        <v>21.140410337914343</v>
      </c>
      <c r="H17" s="283">
        <f>SUM($C$20:$C$22)</f>
        <v>1.0792380379957391</v>
      </c>
      <c r="I17" s="278">
        <f>CostSplit1[[#This Row],[Wert]]</f>
        <v>1.0792380379957391</v>
      </c>
    </row>
    <row r="18" spans="2:9">
      <c r="B18" s="289" t="s">
        <v>545</v>
      </c>
      <c r="C18" s="283" cm="1">
        <f t="array" ref="C18">IF(INDEX(Settings[],MATCH(3001,Settings[ID],0),2)&lt;&gt;"B",0,
SUMPRODUCT(Calculation!DJ$11:DJ$65*(Calculation!$CA$11:$CA$65=$C$2)*(Calculation!$CD$11:$CD$65&gt;0))
+SUMPRODUCT(Calculation!DS$11:DS$65*(Calculation!$CB$11:$CB$65=$C$2)*(Calculation!$CD$11:$CD$65&gt;0))
+SUMPRODUCT(Calculation!DY$11:DY$65*(Calculation!$CC$11:$CC$65=$C$2)*(Calculation!$CD$11:$CD$65&gt;0)))</f>
        <v>0</v>
      </c>
      <c r="E18" s="288" t="s">
        <v>667</v>
      </c>
      <c r="F18" s="881">
        <f>F17+H17</f>
        <v>21.140410337914343</v>
      </c>
      <c r="G18" s="881">
        <f>CostSplit1[[#This Row],[Basis]]+CostSplit1[[#This Row],[Wert]]</f>
        <v>21.140410337914343</v>
      </c>
      <c r="H18" s="283">
        <f>$C$23</f>
        <v>0</v>
      </c>
      <c r="I18" s="278">
        <f>CostSplit1[[#This Row],[Wert]]</f>
        <v>0</v>
      </c>
    </row>
    <row r="19" spans="2:9">
      <c r="B19" s="289" t="s">
        <v>210</v>
      </c>
      <c r="C19" s="283" cm="1">
        <f t="array" ref="C19">IF(INDEX(Settings[],MATCH(3001,Settings[ID],0),2)="B",0,
SUMPRODUCT(Calculation!DK$11:DK$65*(Calculation!$CA$11:$CA$65=$C$2)*(Calculation!$CD$11:$CD$65&gt;0))
+SUMPRODUCT(Calculation!DS$11:DS$65*(Calculation!$CB$11:$CB$65=$C$2)*(Calculation!$CD$11:$CD$65&gt;0))
+SUMPRODUCT(Calculation!DY$11:DY$65*(Calculation!$CC$11:$CC$65=$C$2)*(Calculation!$CD$11:$CD$65&gt;0)))</f>
        <v>1.8229413498940366</v>
      </c>
      <c r="E19" s="290" t="s">
        <v>157</v>
      </c>
      <c r="F19" s="881">
        <v>0</v>
      </c>
      <c r="G19" s="881">
        <f>CostSplit1[[#This Row],[Basis]]+CostSplit1[[#This Row],[Wert]]</f>
        <v>21.140410337914343</v>
      </c>
      <c r="H19" s="286">
        <f>SUM(H15:H18)</f>
        <v>21.140410337914343</v>
      </c>
      <c r="I19" s="278">
        <f>CostSplit1[[#This Row],[Wert]]</f>
        <v>21.140410337914343</v>
      </c>
    </row>
    <row r="20" spans="2:9">
      <c r="B20" s="289" t="s">
        <v>503</v>
      </c>
      <c r="C20" s="283" cm="1">
        <f t="array" ref="C20">SUMPRODUCT(Calculation!DL$11:DL$65*(Calculation!$CA$11:$CA$65=$C$2)*(Calculation!$CD$11:$CD$65&gt;0))</f>
        <v>0</v>
      </c>
    </row>
    <row r="21" spans="2:9">
      <c r="B21" s="289" t="s">
        <v>506</v>
      </c>
      <c r="C21" s="283" cm="1">
        <f t="array" ref="C21">IF(INDEX(Settings[],MATCH(3002,Settings[ID],0),2)&lt;&gt;"B",0,
SUMPRODUCT(Calculation!DM$11:DM$65*(Calculation!$CA$11:$CA$65=$C$2)*(Calculation!$CD$11:$CD$65&gt;0))
+C$12*(INDEX(Premises!$A$36:$V$36,1,MATCH($C$2,Premises!$A$10:$V$10))/100))</f>
        <v>0</v>
      </c>
      <c r="E21" s="280" t="s">
        <v>1931</v>
      </c>
      <c r="F21" s="884" t="s">
        <v>2329</v>
      </c>
      <c r="G21" s="886" t="s">
        <v>130</v>
      </c>
      <c r="H21" s="281" t="s">
        <v>2498</v>
      </c>
      <c r="I21" s="5" t="s">
        <v>37</v>
      </c>
    </row>
    <row r="22" spans="2:9">
      <c r="B22" s="289" t="s">
        <v>209</v>
      </c>
      <c r="C22" s="283" cm="1">
        <f t="array" ref="C22">IF(INDEX(Settings[],MATCH(3002,Settings[ID],0),2)="B",0,
SUMPRODUCT(Calculation!DN$11:DN$65*(Calculation!$CA$11:$CA$65=$C$2)*(Calculation!$CD$11:$CD$65&gt;0))
+C$12*(INDEX(Premises!$A$34:$V$34,1,MATCH($C$2,Premises!$A$10:$V$10))/100))</f>
        <v>1.0792380379957391</v>
      </c>
      <c r="E22" s="291" t="s">
        <v>3451</v>
      </c>
      <c r="F22" s="882">
        <v>0</v>
      </c>
      <c r="G22" s="882"/>
      <c r="H22" s="283">
        <f>IFERROR(C3+C4+C6+C7+C8+C9/(C3+C4+C5+C8)*(C3+C4+C8),0)</f>
        <v>0.56929802772750548</v>
      </c>
      <c r="I22" s="278">
        <f>CostSplit2[[#This Row],[Wert]]</f>
        <v>0.56929802772750548</v>
      </c>
    </row>
    <row r="23" spans="2:9">
      <c r="B23" s="288" t="s">
        <v>667</v>
      </c>
      <c r="C23" s="283" cm="1">
        <f t="array" ref="C23">SUMPRODUCT(Calculation!DO$11:DO$65*(Calculation!$CA$11:$CA$65=$C$2)*(Calculation!$CD$11:$CD$65&gt;0))
+SUMPRODUCT(Calculation!DU$11:DU$65*(Calculation!$CB$11:$CB$65=$C$2)*(Calculation!$CD$11:$CD$65&gt;0))
+SUMPRODUCT(Calculation!EA$11:EA$65*(Calculation!$CC$11:$CC$65=$C$2)*(Calculation!$CD$11:$CD$65&gt;0))</f>
        <v>0</v>
      </c>
      <c r="E23" s="291" t="s">
        <v>440</v>
      </c>
      <c r="F23" s="882">
        <f>H22</f>
        <v>0.56929802772750548</v>
      </c>
      <c r="G23" s="882"/>
      <c r="H23" s="283">
        <f>IFERROR(C5+(C9/(C3+C4+C5+C8))*C5,0)</f>
        <v>0.50755501714701656</v>
      </c>
      <c r="I23" s="278">
        <f>CostSplit2[[#This Row],[Wert]]</f>
        <v>0.50755501714701656</v>
      </c>
    </row>
    <row r="24" spans="2:9">
      <c r="B24" s="290" t="s">
        <v>157</v>
      </c>
      <c r="C24" s="286">
        <f>SUM($C$16:C23)</f>
        <v>21.140410337914343</v>
      </c>
      <c r="E24" s="291" t="s">
        <v>1533</v>
      </c>
      <c r="F24" s="882">
        <f>F23+H23</f>
        <v>1.0768530448745222</v>
      </c>
      <c r="G24" s="882"/>
      <c r="H24" s="283">
        <f>C15</f>
        <v>17.161377905150044</v>
      </c>
      <c r="I24" s="278">
        <f>CostSplit2[[#This Row],[Wert]]</f>
        <v>17.161377905150044</v>
      </c>
    </row>
    <row r="25" spans="2:9">
      <c r="E25" s="287" t="s">
        <v>489</v>
      </c>
      <c r="F25" s="883">
        <v>0</v>
      </c>
      <c r="G25" s="883"/>
      <c r="H25" s="286">
        <f>SUM(H22:H24)</f>
        <v>18.238230950024565</v>
      </c>
      <c r="I25" s="278">
        <f>CostSplit2[[#This Row],[Wert]]</f>
        <v>18.238230950024565</v>
      </c>
    </row>
    <row r="26" spans="2:9">
      <c r="E26" s="288" t="s">
        <v>210</v>
      </c>
      <c r="F26" s="882">
        <f>H25</f>
        <v>18.238230950024565</v>
      </c>
      <c r="G26" s="882"/>
      <c r="H26" s="283">
        <f>SUM($C$17:$C$19)</f>
        <v>1.8229413498940366</v>
      </c>
      <c r="I26" s="278">
        <f>CostSplit2[[#This Row],[Wert]]</f>
        <v>1.8229413498940366</v>
      </c>
    </row>
    <row r="27" spans="2:9">
      <c r="E27" s="288" t="s">
        <v>209</v>
      </c>
      <c r="F27" s="882">
        <f>F26+H26</f>
        <v>20.061172299918603</v>
      </c>
      <c r="G27" s="882"/>
      <c r="H27" s="283">
        <f>SUM($C$20:$C$22)</f>
        <v>1.0792380379957391</v>
      </c>
      <c r="I27" s="278">
        <f>CostSplit2[[#This Row],[Wert]]</f>
        <v>1.0792380379957391</v>
      </c>
    </row>
    <row r="28" spans="2:9">
      <c r="C28" s="278"/>
      <c r="E28" s="288" t="s">
        <v>667</v>
      </c>
      <c r="F28" s="882">
        <f>F27+H27</f>
        <v>21.140410337914343</v>
      </c>
      <c r="G28" s="882"/>
      <c r="H28" s="283">
        <f>$C$23</f>
        <v>0</v>
      </c>
      <c r="I28" s="278">
        <f>CostSplit2[[#This Row],[Wert]]</f>
        <v>0</v>
      </c>
    </row>
    <row r="29" spans="2:9">
      <c r="E29" s="290" t="s">
        <v>157</v>
      </c>
      <c r="F29" s="883">
        <v>0</v>
      </c>
      <c r="G29" s="883"/>
      <c r="H29" s="286">
        <f>SUM(H25:H28)</f>
        <v>21.140410337914343</v>
      </c>
      <c r="I29" s="278">
        <f>CostSplit2[[#This Row],[Wert]]</f>
        <v>21.140410337914343</v>
      </c>
    </row>
    <row r="31" spans="2:9">
      <c r="E31" s="280" t="s">
        <v>1932</v>
      </c>
      <c r="F31" s="884" t="s">
        <v>2329</v>
      </c>
      <c r="G31" s="886" t="s">
        <v>130</v>
      </c>
      <c r="H31" s="281" t="s">
        <v>2498</v>
      </c>
      <c r="I31" s="5" t="s">
        <v>37</v>
      </c>
    </row>
    <row r="32" spans="2:9">
      <c r="E32" s="288" t="s">
        <v>1373</v>
      </c>
      <c r="F32" s="882">
        <v>0</v>
      </c>
      <c r="G32" s="882"/>
      <c r="H32" s="283"/>
      <c r="I32" s="278">
        <f>CostSplit3[[#This Row],[Wert]]</f>
        <v>0</v>
      </c>
    </row>
    <row r="33" spans="5:9">
      <c r="E33" s="288" t="s">
        <v>1374</v>
      </c>
      <c r="F33" s="882">
        <f>H32</f>
        <v>0</v>
      </c>
      <c r="G33" s="882"/>
      <c r="H33" s="283"/>
      <c r="I33" s="278">
        <f>CostSplit3[[#This Row],[Wert]]</f>
        <v>0</v>
      </c>
    </row>
    <row r="34" spans="5:9">
      <c r="E34" s="288" t="s">
        <v>1375</v>
      </c>
      <c r="F34" s="882">
        <f>F33+H33</f>
        <v>0</v>
      </c>
      <c r="G34" s="882"/>
      <c r="H34" s="283"/>
      <c r="I34" s="278">
        <f>CostSplit3[[#This Row],[Wert]]</f>
        <v>0</v>
      </c>
    </row>
    <row r="35" spans="5:9">
      <c r="E35" s="288" t="s">
        <v>675</v>
      </c>
      <c r="F35" s="882">
        <f>F34+H34</f>
        <v>0</v>
      </c>
      <c r="G35" s="882"/>
      <c r="H35" s="283">
        <f>SUM($C$17:$C$22)</f>
        <v>2.9021793878897757</v>
      </c>
      <c r="I35" s="278">
        <f>CostSplit3[[#This Row],[Wert]]</f>
        <v>2.9021793878897757</v>
      </c>
    </row>
    <row r="36" spans="5:9">
      <c r="E36" s="288" t="s">
        <v>667</v>
      </c>
      <c r="F36" s="882">
        <f>F35+H35</f>
        <v>2.9021793878897757</v>
      </c>
      <c r="G36" s="882"/>
      <c r="H36" s="283">
        <f>$C$23</f>
        <v>0</v>
      </c>
      <c r="I36" s="278">
        <f>CostSplit3[[#This Row],[Wert]]</f>
        <v>0</v>
      </c>
    </row>
    <row r="37" spans="5:9">
      <c r="E37" s="287" t="s">
        <v>157</v>
      </c>
      <c r="F37" s="882">
        <v>0</v>
      </c>
      <c r="G37" s="882"/>
      <c r="H37" s="286">
        <f>SUM(H32:H36)</f>
        <v>2.9021793878897757</v>
      </c>
      <c r="I37" s="278">
        <f>CostSplit3[[#This Row],[Wert]]</f>
        <v>2.9021793878897757</v>
      </c>
    </row>
  </sheetData>
  <phoneticPr fontId="36" type="noConversion"/>
  <conditionalFormatting sqref="I22:I29">
    <cfRule type="dataBar" priority="5">
      <dataBar showValue="0">
        <cfvo type="min"/>
        <cfvo type="max"/>
        <color theme="8"/>
      </dataBar>
      <extLst>
        <ext xmlns:x14="http://schemas.microsoft.com/office/spreadsheetml/2009/9/main" uri="{B025F937-C7B1-47D3-B67F-A62EFF666E3E}">
          <x14:id>{F8E78071-E001-41D6-8103-1F815E9A42E0}</x14:id>
        </ext>
      </extLst>
    </cfRule>
  </conditionalFormatting>
  <conditionalFormatting sqref="I32:I37">
    <cfRule type="dataBar" priority="2">
      <dataBar showValue="0">
        <cfvo type="min"/>
        <cfvo type="max"/>
        <color theme="8"/>
      </dataBar>
      <extLst>
        <ext xmlns:x14="http://schemas.microsoft.com/office/spreadsheetml/2009/9/main" uri="{B025F937-C7B1-47D3-B67F-A62EFF666E3E}">
          <x14:id>{797AF8C2-2259-4B35-BDDD-3D7E28F58BF6}</x14:id>
        </ext>
      </extLst>
    </cfRule>
  </conditionalFormatting>
  <conditionalFormatting sqref="I3:I19">
    <cfRule type="dataBar" priority="1666">
      <dataBar showValue="0">
        <cfvo type="min"/>
        <cfvo type="max"/>
        <color theme="8"/>
      </dataBar>
      <extLst>
        <ext xmlns:x14="http://schemas.microsoft.com/office/spreadsheetml/2009/9/main" uri="{B025F937-C7B1-47D3-B67F-A62EFF666E3E}">
          <x14:id>{F31BA9CA-0EBC-409A-BCC9-9D3A402B3F5A}</x14:id>
        </ext>
      </extLst>
    </cfRule>
  </conditionalFormatting>
  <conditionalFormatting sqref="I2">
    <cfRule type="dataBar" priority="1667">
      <dataBar showValue="0">
        <cfvo type="min"/>
        <cfvo type="max"/>
        <color theme="8"/>
      </dataBar>
      <extLst>
        <ext xmlns:x14="http://schemas.microsoft.com/office/spreadsheetml/2009/9/main" uri="{B025F937-C7B1-47D3-B67F-A62EFF666E3E}">
          <x14:id>{C3399D7A-1868-494D-91C1-9308F037A5F6}</x14:id>
        </ext>
      </extLst>
    </cfRule>
  </conditionalFormatting>
  <dataValidations count="1">
    <dataValidation type="list" allowBlank="1" showInputMessage="1" showErrorMessage="1" sqref="C2" xr:uid="{94DB1190-0121-483B-A538-54C0E20C5A80}">
      <formula1>Premises_Dropdown</formula1>
    </dataValidation>
  </dataValidations>
  <pageMargins left="0.7" right="0.7" top="0.78740157499999996" bottom="0.78740157499999996" header="0.3" footer="0.3"/>
  <drawing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F8E78071-E001-41D6-8103-1F815E9A42E0}">
            <x14:dataBar minLength="0" maxLength="100" gradient="0">
              <x14:cfvo type="autoMin"/>
              <x14:cfvo type="autoMax"/>
              <x14:negativeFillColor rgb="FFFF0000"/>
              <x14:axisColor rgb="FF000000"/>
            </x14:dataBar>
          </x14:cfRule>
          <xm:sqref>I22:I29</xm:sqref>
        </x14:conditionalFormatting>
        <x14:conditionalFormatting xmlns:xm="http://schemas.microsoft.com/office/excel/2006/main">
          <x14:cfRule type="dataBar" id="{797AF8C2-2259-4B35-BDDD-3D7E28F58BF6}">
            <x14:dataBar minLength="0" maxLength="100" gradient="0">
              <x14:cfvo type="autoMin"/>
              <x14:cfvo type="autoMax"/>
              <x14:negativeFillColor rgb="FFFF0000"/>
              <x14:axisColor rgb="FF000000"/>
            </x14:dataBar>
          </x14:cfRule>
          <xm:sqref>I32:I37</xm:sqref>
        </x14:conditionalFormatting>
        <x14:conditionalFormatting xmlns:xm="http://schemas.microsoft.com/office/excel/2006/main">
          <x14:cfRule type="dataBar" id="{F31BA9CA-0EBC-409A-BCC9-9D3A402B3F5A}">
            <x14:dataBar minLength="0" maxLength="100" gradient="0">
              <x14:cfvo type="autoMin"/>
              <x14:cfvo type="autoMax"/>
              <x14:negativeFillColor rgb="FFFF0000"/>
              <x14:axisColor rgb="FF000000"/>
            </x14:dataBar>
          </x14:cfRule>
          <xm:sqref>I3:I19</xm:sqref>
        </x14:conditionalFormatting>
        <x14:conditionalFormatting xmlns:xm="http://schemas.microsoft.com/office/excel/2006/main">
          <x14:cfRule type="dataBar" id="{C3399D7A-1868-494D-91C1-9308F037A5F6}">
            <x14:dataBar minLength="0" maxLength="100" gradient="0">
              <x14:cfvo type="autoMin"/>
              <x14:cfvo type="autoMax"/>
              <x14:negativeFillColor rgb="FFFF0000"/>
              <x14:axisColor rgb="FF000000"/>
            </x14:dataBar>
          </x14:cfRule>
          <xm:sqref>I2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6BCFD-2500-44C5-9F23-742DC6F3B3A5}">
  <sheetPr codeName="TabCluster">
    <outlinePr summaryBelow="0"/>
  </sheetPr>
  <dimension ref="A1:AL32"/>
  <sheetViews>
    <sheetView showGridLines="0" showZeros="0" zoomScaleNormal="100" workbookViewId="0">
      <pane ySplit="6" topLeftCell="A7" activePane="bottomLeft" state="frozen"/>
      <selection activeCell="B2" sqref="B2:AY2"/>
      <selection pane="bottomLeft" activeCell="B2" sqref="B2:AY2"/>
    </sheetView>
  </sheetViews>
  <sheetFormatPr baseColWidth="10" defaultColWidth="11.42578125" defaultRowHeight="12.75" outlineLevelCol="1"/>
  <cols>
    <col min="1" max="1" width="2.7109375" style="5" customWidth="1"/>
    <col min="2" max="2" width="30.7109375" style="309" customWidth="1"/>
    <col min="3" max="10" width="6.7109375" style="295" customWidth="1"/>
    <col min="11" max="12" width="6.7109375" style="295" hidden="1" customWidth="1" outlineLevel="1"/>
    <col min="13" max="13" width="6.7109375" style="295" customWidth="1" collapsed="1"/>
    <col min="14" max="17" width="6.7109375" style="295" customWidth="1"/>
    <col min="18" max="18" width="6.7109375" style="295" hidden="1" customWidth="1"/>
    <col min="19" max="19" width="6.7109375" style="296" hidden="1" customWidth="1"/>
    <col min="20" max="20" width="6.7109375" style="5" customWidth="1"/>
    <col min="21" max="22" width="6.7109375" style="5" hidden="1" customWidth="1"/>
    <col min="23" max="24" width="6.7109375" style="5" customWidth="1"/>
    <col min="25" max="25" width="9.7109375" style="5" customWidth="1"/>
    <col min="26" max="30" width="6.7109375" style="5" hidden="1" customWidth="1" outlineLevel="1"/>
    <col min="31" max="31" width="9.7109375" style="5" customWidth="1" collapsed="1"/>
    <col min="32" max="36" width="6.7109375" style="5" hidden="1" customWidth="1" outlineLevel="1"/>
    <col min="37" max="37" width="9.7109375" style="5" customWidth="1" collapsed="1"/>
    <col min="38" max="38" width="12.7109375" style="5" customWidth="1"/>
    <col min="39" max="39" width="2.7109375" style="5" customWidth="1"/>
    <col min="40" max="16384" width="11.42578125" style="5"/>
  </cols>
  <sheetData>
    <row r="1" spans="1:38" ht="4.5" customHeight="1">
      <c r="A1" s="295"/>
      <c r="B1" s="296"/>
    </row>
    <row r="2" spans="1:38">
      <c r="A2" s="295"/>
      <c r="B2" s="1302" t="str">
        <f>IF(Settings!C24=0,"The cluster tab calculation only works with the 'cost analysis' columns enabled! Please go to the calculation tab and enable the 'cost analysis' columns","")</f>
        <v>The cluster tab calculation only works with the 'cost analysis' columns enabled! Please go to the calculation tab and enable the 'cost analysis' columns</v>
      </c>
      <c r="C2" s="1302"/>
      <c r="D2" s="1302"/>
      <c r="E2" s="1302"/>
      <c r="F2" s="1302"/>
      <c r="G2" s="1302"/>
      <c r="H2" s="1302"/>
      <c r="I2" s="1302"/>
      <c r="J2" s="1302"/>
      <c r="K2" s="1302"/>
      <c r="L2" s="1302"/>
      <c r="M2" s="1302"/>
      <c r="N2" s="1302"/>
      <c r="O2" s="1302"/>
      <c r="P2" s="1302"/>
      <c r="Q2" s="1302"/>
      <c r="R2" s="1302"/>
      <c r="S2" s="1302"/>
      <c r="T2" s="1302"/>
      <c r="U2" s="1302"/>
      <c r="V2" s="1302"/>
      <c r="W2" s="1302"/>
      <c r="X2" s="1302"/>
      <c r="Y2" s="1302"/>
      <c r="Z2" s="1302"/>
      <c r="AA2" s="1302"/>
      <c r="AB2" s="1302"/>
      <c r="AC2" s="1302"/>
      <c r="AD2" s="1302"/>
      <c r="AE2" s="1302"/>
      <c r="AF2" s="1302"/>
      <c r="AG2" s="1302"/>
      <c r="AH2" s="1302"/>
      <c r="AI2" s="1302"/>
      <c r="AJ2" s="1302"/>
      <c r="AK2" s="1302"/>
    </row>
    <row r="3" spans="1:38" ht="4.5" customHeight="1">
      <c r="A3" s="295"/>
      <c r="B3" s="296"/>
    </row>
    <row r="4" spans="1:38">
      <c r="A4" s="295"/>
      <c r="B4" s="296"/>
      <c r="C4" s="1265" t="str">
        <f>IF(B5=0,"Tier P",_xlfn.XLOOKUP($B$5,Premises!$A$10:$F$10,Premises!$A$11:$F$11))</f>
        <v>Tier P</v>
      </c>
      <c r="D4" s="1266"/>
      <c r="E4" s="1266"/>
      <c r="F4" s="1266"/>
      <c r="G4" s="1266"/>
      <c r="H4" s="1266"/>
      <c r="I4" s="1266"/>
      <c r="J4" s="1266"/>
      <c r="K4" s="1266"/>
      <c r="L4" s="1266"/>
      <c r="M4" s="1266"/>
      <c r="N4" s="1266"/>
      <c r="O4" s="1266"/>
      <c r="P4" s="1266"/>
      <c r="Q4" s="1266"/>
      <c r="R4" s="1266"/>
      <c r="S4" s="1266"/>
      <c r="T4" s="1266"/>
      <c r="U4" s="1266"/>
      <c r="V4" s="1266"/>
      <c r="W4" s="1266"/>
      <c r="X4" s="1266"/>
      <c r="Y4" s="1267"/>
      <c r="Z4" s="1265" t="s">
        <v>2592</v>
      </c>
      <c r="AA4" s="1266"/>
      <c r="AB4" s="1266"/>
      <c r="AC4" s="1266"/>
      <c r="AD4" s="1266"/>
      <c r="AE4" s="1267"/>
      <c r="AF4" s="1265" t="s">
        <v>2593</v>
      </c>
      <c r="AG4" s="1266"/>
      <c r="AH4" s="1266"/>
      <c r="AI4" s="1266"/>
      <c r="AJ4" s="1266"/>
      <c r="AK4" s="1267"/>
    </row>
    <row r="5" spans="1:38">
      <c r="B5" s="862"/>
      <c r="C5" s="920" t="s">
        <v>1386</v>
      </c>
      <c r="D5" s="920" t="s">
        <v>165</v>
      </c>
      <c r="E5" s="920" t="s">
        <v>534</v>
      </c>
      <c r="F5" s="920" t="s">
        <v>2310</v>
      </c>
      <c r="G5" s="920" t="s">
        <v>1394</v>
      </c>
      <c r="H5" s="920" t="s">
        <v>2615</v>
      </c>
      <c r="I5" s="920" t="s">
        <v>1378</v>
      </c>
      <c r="J5" s="921" t="s">
        <v>155</v>
      </c>
      <c r="K5" s="937" t="s">
        <v>2617</v>
      </c>
      <c r="L5" s="937" t="s">
        <v>1393</v>
      </c>
      <c r="M5" s="920" t="s">
        <v>2606</v>
      </c>
      <c r="N5" s="920" t="s">
        <v>2616</v>
      </c>
      <c r="O5" s="920" t="s">
        <v>283</v>
      </c>
      <c r="P5" s="921" t="s">
        <v>152</v>
      </c>
      <c r="Q5" s="921" t="s">
        <v>169</v>
      </c>
      <c r="R5" s="920" t="s">
        <v>174</v>
      </c>
      <c r="S5" s="920" t="s">
        <v>175</v>
      </c>
      <c r="T5" s="920" t="s">
        <v>210</v>
      </c>
      <c r="U5" s="920" t="s">
        <v>1371</v>
      </c>
      <c r="V5" s="920" t="s">
        <v>1372</v>
      </c>
      <c r="W5" s="920" t="s">
        <v>209</v>
      </c>
      <c r="X5" s="920" t="s">
        <v>667</v>
      </c>
      <c r="Y5" s="921" t="s">
        <v>157</v>
      </c>
      <c r="Z5" s="920" t="s">
        <v>2612</v>
      </c>
      <c r="AA5" s="920" t="s">
        <v>283</v>
      </c>
      <c r="AB5" s="920" t="s">
        <v>210</v>
      </c>
      <c r="AC5" s="920" t="s">
        <v>209</v>
      </c>
      <c r="AD5" s="920" t="s">
        <v>667</v>
      </c>
      <c r="AE5" s="921" t="s">
        <v>157</v>
      </c>
      <c r="AF5" s="920" t="s">
        <v>2612</v>
      </c>
      <c r="AG5" s="920" t="s">
        <v>283</v>
      </c>
      <c r="AH5" s="920" t="s">
        <v>210</v>
      </c>
      <c r="AI5" s="920" t="s">
        <v>209</v>
      </c>
      <c r="AJ5" s="920" t="s">
        <v>667</v>
      </c>
      <c r="AK5" s="921" t="s">
        <v>157</v>
      </c>
    </row>
    <row r="6" spans="1:38" ht="4.5" customHeight="1">
      <c r="C6" s="292"/>
      <c r="D6" s="292"/>
      <c r="E6" s="292"/>
      <c r="F6" s="292"/>
      <c r="G6" s="292"/>
      <c r="H6" s="292"/>
      <c r="I6" s="292"/>
      <c r="J6" s="292"/>
      <c r="K6" s="934"/>
      <c r="L6" s="934"/>
      <c r="M6" s="292"/>
      <c r="N6" s="292"/>
      <c r="O6" s="292"/>
      <c r="P6" s="292"/>
      <c r="Q6" s="292"/>
      <c r="R6" s="292"/>
      <c r="S6" s="293"/>
    </row>
    <row r="7" spans="1:38">
      <c r="B7" s="294" t="s">
        <v>237</v>
      </c>
      <c r="C7" s="795" t="s">
        <v>1385</v>
      </c>
      <c r="D7" s="795" t="s">
        <v>161</v>
      </c>
      <c r="E7" s="795" t="s">
        <v>335</v>
      </c>
      <c r="F7" s="795" t="s">
        <v>1361</v>
      </c>
      <c r="G7" s="795" t="s">
        <v>1370</v>
      </c>
      <c r="H7" s="795" t="s">
        <v>697</v>
      </c>
      <c r="I7" s="795" t="s">
        <v>27</v>
      </c>
      <c r="J7" s="795" t="s">
        <v>10</v>
      </c>
      <c r="K7" s="936" t="s">
        <v>2617</v>
      </c>
      <c r="L7" s="936" t="s">
        <v>1368</v>
      </c>
      <c r="M7" s="795" t="s">
        <v>2606</v>
      </c>
      <c r="N7" s="795" t="s">
        <v>698</v>
      </c>
      <c r="O7" s="795" t="s">
        <v>1</v>
      </c>
      <c r="P7" s="795" t="s">
        <v>9</v>
      </c>
      <c r="Q7" s="795" t="s">
        <v>12</v>
      </c>
      <c r="R7" s="795" t="s">
        <v>29</v>
      </c>
      <c r="S7" s="795" t="s">
        <v>28</v>
      </c>
      <c r="T7" s="795" t="s">
        <v>13</v>
      </c>
      <c r="U7" s="795" t="s">
        <v>1371</v>
      </c>
      <c r="V7" s="795" t="s">
        <v>1372</v>
      </c>
      <c r="W7" s="795" t="s">
        <v>14</v>
      </c>
      <c r="X7" s="795" t="s">
        <v>666</v>
      </c>
      <c r="Y7" s="795" t="s">
        <v>11</v>
      </c>
      <c r="Z7" s="795" t="s">
        <v>2594</v>
      </c>
      <c r="AA7" s="795" t="s">
        <v>2595</v>
      </c>
      <c r="AB7" s="795" t="s">
        <v>2596</v>
      </c>
      <c r="AC7" s="795" t="s">
        <v>2597</v>
      </c>
      <c r="AD7" s="795" t="s">
        <v>2598</v>
      </c>
      <c r="AE7" s="795" t="s">
        <v>2599</v>
      </c>
      <c r="AF7" s="795" t="s">
        <v>2600</v>
      </c>
      <c r="AG7" s="795" t="s">
        <v>2601</v>
      </c>
      <c r="AH7" s="795" t="s">
        <v>2602</v>
      </c>
      <c r="AI7" s="795" t="s">
        <v>2603</v>
      </c>
      <c r="AJ7" s="795" t="s">
        <v>2604</v>
      </c>
      <c r="AK7" s="880" t="s">
        <v>2605</v>
      </c>
      <c r="AL7" s="229" t="s">
        <v>36</v>
      </c>
    </row>
    <row r="8" spans="1:38">
      <c r="B8" s="944" t="s">
        <v>207</v>
      </c>
      <c r="C8" s="863" cm="1">
        <f t="array" ref="C8">SUMPRODUCT(Calculation!CV$11:CV$65*(Calculation!$FJ$11:$FJ$65=$B8)*IF($B$5=0,1,Calculation!$CA$11:$CA$65=$B$5))</f>
        <v>0</v>
      </c>
      <c r="D8" s="863" cm="1">
        <f t="array" ref="D8">SUMPRODUCT(Calculation!CW$11:CW$65*(Calculation!$FJ$11:$FJ$65=$B8)*IF($B$5=0,1,Calculation!$CA$11:$CA$65=$B$5))</f>
        <v>0</v>
      </c>
      <c r="E8" s="863" cm="1">
        <f t="array" ref="E8">SUMPRODUCT(Calculation!CX$11:CX$65*(Calculation!$FJ$11:$FJ$65=$B8)*IF($B$5=0,1,Calculation!$CA$11:$CA$65=$B$5))</f>
        <v>0</v>
      </c>
      <c r="F8" s="863" cm="1">
        <f t="array" ref="F8">SUMPRODUCT(Calculation!CY$11:CY$65*(Calculation!$FJ$11:$FJ$65=$B8)*IF($B$5=0,1,Calculation!$CA$11:$CA$65=$B$5))</f>
        <v>0</v>
      </c>
      <c r="G8" s="863" cm="1">
        <f t="array" ref="G8">SUMPRODUCT(Calculation!CZ$11:CZ$65*(Calculation!$FJ$11:$FJ$65=$B8)*IF($B$5=0,1,Calculation!$CA$11:$CA$65=$B$5))</f>
        <v>0</v>
      </c>
      <c r="H8" s="863" cm="1">
        <f t="array" ref="H8">SUMPRODUCT(Calculation!DA$11:DA$65*(Calculation!$FJ$11:$FJ$65=$B8)*IF($B$5=0,1,Calculation!$CA$11:$CA$65=$B$5))</f>
        <v>0</v>
      </c>
      <c r="I8" s="863" cm="1">
        <f t="array" ref="I8">SUMPRODUCT(Calculation!DB$11:DB$65*(Calculation!$FJ$11:$FJ$65=$B8)*IF($B$5=0,1,Calculation!$CA$11:$CA$65=$B$5))</f>
        <v>0</v>
      </c>
      <c r="J8" s="876">
        <f>SUM($C8:$I8)</f>
        <v>0</v>
      </c>
      <c r="K8" s="877" cm="1">
        <f t="array" ref="K8">SUMPRODUCT(Calculation!DD$11:DD$65*(Calculation!$FJ$11:$FJ$65=$B8)*IF($B$5=0,1,Calculation!$CA$11:$CA$65=$B$5))</f>
        <v>0</v>
      </c>
      <c r="L8" s="877" cm="1">
        <f t="array" ref="L8">SUMPRODUCT(Calculation!DP$11:DP$65*(Calculation!$FJ$11:$FJ$65=$B8)*IF($B$5=0,0,Calculation!$CB$11:$CB$65=$B$5))
+SUMPRODUCT(Calculation!DP$11:DU$65*(Calculation!$FJ$11:$FJ$65=$B8)*IF($B$5=0,0,Calculation!$CC$11:$CC$65=$B$5))</f>
        <v>0</v>
      </c>
      <c r="M8" s="863">
        <f>SUM($K8:$L8)</f>
        <v>0</v>
      </c>
      <c r="N8" s="863" cm="1">
        <f t="array" ref="N8">SUMPRODUCT(Calculation!DE$11:DE$65*(Calculation!$FJ$11:$FJ$65=$B8)*IF($B$5=0,1,Calculation!$CA$11:$CA$65=$B$5))
+SUMPRODUCT(Calculation!DQ$11:DQ$65*(Calculation!$FJ$11:$FJ$65=$B8)*IF($B$5=0,0,Calculation!$CB$11:$CB$65=$B$5))
+SUMPRODUCT(Calculation!DW$11:DW$65*(Calculation!$FJ$11:$FJ$65=$B8)*IF($B$5=0,0,Calculation!$CC$11:$CC$65=$B$5))</f>
        <v>0</v>
      </c>
      <c r="O8" s="863" cm="1">
        <f t="array" ref="O8">SUMPRODUCT(Calculation!DF$11:DF$65*(Calculation!$FJ$11:$FJ$65=$B8)*IF($B$5=0,1,Calculation!$CA$11:$CA$65=$B$5))
+SUMPRODUCT(Calculation!DR$11:DR$65*(Calculation!$FJ$11:$FJ$65=$B8)*IF($B$5=0,0,Calculation!$CB$11:$CB$65=$B$5))
+SUMPRODUCT(Calculation!DX$11:DX$65*(Calculation!$FJ$11:$FJ$65=$B8)*IF($B$5=0,0,Calculation!$CC$11:$CC$65=$B$5))</f>
        <v>0</v>
      </c>
      <c r="P8" s="876">
        <f>SUM($M8:$O8)</f>
        <v>0</v>
      </c>
      <c r="Q8" s="878">
        <f>$J8+$P8</f>
        <v>0</v>
      </c>
      <c r="R8" s="863" cm="1">
        <f t="array" ref="R8">SUMPRODUCT(Calculation!DI$11:DI$65*(Calculation!$FJ$11:$FJ$65=$B8)*IF($B$5=0,1,Calculation!$CA$11:$CA$65=$B$5))</f>
        <v>0</v>
      </c>
      <c r="S8" s="863" cm="1">
        <f t="array" ref="S8">SUMPRODUCT(Calculation!DJ$11:DJ$65*(Calculation!$FJ$11:$FJ$65=$B8)*IF($B$5=0,1,Calculation!$CA$11:$CA$65=$B$5))
+(SUMPRODUCT(Calculation!DS$11:DS$65*(Calculation!$FJ$11:$FJ$65=$B8)*IF($B$5=0,0,Calculation!$CB$11:$CB$65=$B$5))
+SUMPRODUCT(Calculation!DY$11:DY$65*(Calculation!$FJ$11:$FJ$65=$B8)*IF($B$5=0,0,Calculation!$CC$11:$CC$65=$B$5)))*IF(INDEX(Settings[],MATCH(3001,Settings[ID],0),2)="B",1,0)</f>
        <v>0</v>
      </c>
      <c r="T8" s="863" cm="1">
        <f t="array" ref="T8">SUMPRODUCT(Calculation!DK$11:DK$65*(Calculation!$FJ$11:$FJ$65=$B8)*IF($B$5=0,1,Calculation!$CA$11:$CA$65=$B$5))
+(SUMPRODUCT(Calculation!DS$11:DS$65*(Calculation!$FJ$11:$FJ$65=$B8)*IF($B$5=0,0,Calculation!$CB$11:$CB$65=$B$5))
+SUMPRODUCT(Calculation!DY$11:DY$65*(Calculation!$FJ$11:$FJ$65=$B8)*IF($B$5=0,0,Calculation!$CC$11:$CC$65=$B$5)))*IF(INDEX(Settings[],MATCH(3001,Settings[ID],0),2)="B",0,1)</f>
        <v>0</v>
      </c>
      <c r="U8" s="863" cm="1">
        <f t="array" ref="U8">SUMPRODUCT(Calculation!DL$11:DL$65*(Calculation!$FJ$11:$FJ$65=$B8)*IF($B$5=0,1,Calculation!$CA$11:$CA$65=$B$5))</f>
        <v>0</v>
      </c>
      <c r="V8" s="863" cm="1">
        <f t="array" ref="V8">SUMPRODUCT(Calculation!DM$11:DM$65*(Calculation!$FJ$11:$FJ$65=$B8)*IF($B$5=0,1,Calculation!$CA$11:$CA$65=$B$5))
+(SUMPRODUCT(Calculation!DT$11:DT$65*(Calculation!$FJ$11:$FJ$65=$B8)*IF($B$5=0,0,Calculation!$CB$11:$CB$65=$B$5))
+SUMPRODUCT(Calculation!DZ$11:DZ$65*(Calculation!$FJ$11:$FJ$65=$B8)*IF($B$5=0,0,Calculation!$CC$11:$CC$65=$B$5)))*IF(INDEX(Settings[],MATCH(3002,Settings[ID],0),2)="B",1,0)</f>
        <v>0</v>
      </c>
      <c r="W8" s="863" cm="1">
        <f t="array" ref="W8">SUMPRODUCT(Calculation!DN$11:DN$65*(Calculation!$FJ$11:$FJ$65=$B8)*IF($B$5=0,1,Calculation!$CA$11:$CA$65=$B$5))
+(SUMPRODUCT(Calculation!DT$11:DT$65*(Calculation!$FJ$11:$FJ$65=$B8)*IF($B$5=0,0,Calculation!$CB$11:$CB$65=$B$5))
+SUMPRODUCT(Calculation!DZ$11:DZ$65*(Calculation!$FJ$11:$FJ$65=$B8)*IF($B$5=0,0,Calculation!$CC$11:$CC$65=$B$5)))*IF(INDEX(Settings[],MATCH(3002,Settings[ID],0),2)="B",0,1)</f>
        <v>0</v>
      </c>
      <c r="X8" s="863" cm="1">
        <f t="array" ref="X8">SUMPRODUCT(Calculation!DO$11:DO$65*(Calculation!$FJ$11:$FJ$65=$B8)*IF($B$5=0,1,Calculation!$CA$11:$CA$65=$B$5))
+SUMPRODUCT(Calculation!DU$11:DU$65*(Calculation!$FJ$11:$FJ$65=$B8)*IF($B$5=0,0,Calculation!$CB$11:$CB$65=$B$5))
+SUMPRODUCT(Calculation!EA$11:EA$65*(Calculation!$FJ$11:$FJ$65=$B8)*IF($B$5=0,0,Calculation!$CC$11:$CC$65=$B$5))</f>
        <v>0</v>
      </c>
      <c r="Y8" s="879">
        <f>SUM($Q8:$X8)</f>
        <v>0</v>
      </c>
      <c r="Z8" s="863" cm="1">
        <f t="array" ref="Z8">SUMPRODUCT(Calculation!DQ$11:DQ$65*(Calculation!$FJ$11:$FJ$65=$B8)*IF($B$5=0,1,0))</f>
        <v>0</v>
      </c>
      <c r="AA8" s="863" cm="1">
        <f t="array" ref="AA8">SUMPRODUCT(Calculation!DR$11:DR$65*(Calculation!$FJ$11:$FJ$65=$B8)*IF($B$5=0,1,0))</f>
        <v>0</v>
      </c>
      <c r="AB8" s="863" cm="1">
        <f t="array" ref="AB8">SUMPRODUCT(Calculation!DS$11:DS$65*(Calculation!$FJ$11:$FJ$65=$B8)*IF($B$5=0,1,0))</f>
        <v>0</v>
      </c>
      <c r="AC8" s="863" cm="1">
        <f t="array" ref="AC8">SUMPRODUCT(Calculation!DT$11:DT$65*(Calculation!$FJ$11:$FJ$65=$B8)*IF($B$5=0,1,0))</f>
        <v>0</v>
      </c>
      <c r="AD8" s="863" cm="1">
        <f t="array" ref="AD8">SUMPRODUCT(Calculation!DU$11:DU$65*(Calculation!$FJ$11:$FJ$65=$B8)*IF($B$5=0,1,0))</f>
        <v>0</v>
      </c>
      <c r="AE8" s="879">
        <f>IF(SUM($Z8:$AD8)=0,0,SUM($Y8:$AD8))</f>
        <v>0</v>
      </c>
      <c r="AF8" s="863" cm="1">
        <f t="array" ref="AF8">SUMPRODUCT(Calculation!DW$11:DW$65*(Calculation!$FJ$11:$FJ$65=$B8)*IF($B$5=0,1,0))</f>
        <v>0</v>
      </c>
      <c r="AG8" s="863" cm="1">
        <f t="array" ref="AG8">SUMPRODUCT(Calculation!DX$11:DX$65*(Calculation!$FJ$11:$FJ$65=$B8)*IF($B$5=0,1,0))</f>
        <v>0</v>
      </c>
      <c r="AH8" s="863" cm="1">
        <f t="array" ref="AH8">SUMPRODUCT(Calculation!DY$11:DY$65*(Calculation!$FJ$11:$FJ$65=$B8)*IF($B$5=0,1,0))</f>
        <v>0</v>
      </c>
      <c r="AI8" s="863" cm="1">
        <f t="array" ref="AI8">SUMPRODUCT(Calculation!DZ$11:DZ$65*(Calculation!$FJ$11:$FJ$65=$B8)*IF($B$5=0,1,0))</f>
        <v>0</v>
      </c>
      <c r="AJ8" s="863" cm="1">
        <f t="array" ref="AJ8">SUMPRODUCT(Calculation!EA$11:EA$65*(Calculation!$FJ$11:$FJ$65=$B8)*IF($B$5=0,1,0))</f>
        <v>0</v>
      </c>
      <c r="AK8" s="879">
        <f>IF(SUM(Cluster1[[Auss.7]:[Sonstige11]])=0,0,SUM($Y8:$AD8,$AF8:$AJ8))</f>
        <v>0</v>
      </c>
      <c r="AL8" s="278">
        <f>IF($B$5=0,$AK8,$Y8)</f>
        <v>0</v>
      </c>
    </row>
    <row r="9" spans="1:38">
      <c r="B9" s="944" t="s">
        <v>231</v>
      </c>
      <c r="C9" s="863" cm="1">
        <f t="array" ref="C9">SUMPRODUCT(Calculation!CV$11:CV$65*(Calculation!$FJ$11:$FJ$65=$B9)*IF($B$5=0,1,Calculation!$CA$11:$CA$65=$B$5))</f>
        <v>0</v>
      </c>
      <c r="D9" s="863" cm="1">
        <f t="array" ref="D9">SUMPRODUCT(Calculation!CW$11:CW$65*(Calculation!$FJ$11:$FJ$65=$B9)*IF($B$5=0,1,Calculation!$CA$11:$CA$65=$B$5))</f>
        <v>0</v>
      </c>
      <c r="E9" s="863" cm="1">
        <f t="array" ref="E9">SUMPRODUCT(Calculation!CX$11:CX$65*(Calculation!$FJ$11:$FJ$65=$B9)*IF($B$5=0,1,Calculation!$CA$11:$CA$65=$B$5))</f>
        <v>0</v>
      </c>
      <c r="F9" s="863" cm="1">
        <f t="array" ref="F9">SUMPRODUCT(Calculation!CY$11:CY$65*(Calculation!$FJ$11:$FJ$65=$B9)*IF($B$5=0,1,Calculation!$CA$11:$CA$65=$B$5))</f>
        <v>0</v>
      </c>
      <c r="G9" s="863" cm="1">
        <f t="array" ref="G9">SUMPRODUCT(Calculation!CZ$11:CZ$65*(Calculation!$FJ$11:$FJ$65=$B9)*IF($B$5=0,1,Calculation!$CA$11:$CA$65=$B$5))</f>
        <v>0</v>
      </c>
      <c r="H9" s="863" cm="1">
        <f t="array" ref="H9">SUMPRODUCT(Calculation!DA$11:DA$65*(Calculation!$FJ$11:$FJ$65=$B9)*IF($B$5=0,1,Calculation!$CA$11:$CA$65=$B$5))</f>
        <v>0</v>
      </c>
      <c r="I9" s="863" cm="1">
        <f t="array" ref="I9">SUMPRODUCT(Calculation!DB$11:DB$65*(Calculation!$FJ$11:$FJ$65=$B9)*IF($B$5=0,1,Calculation!$CA$11:$CA$65=$B$5))</f>
        <v>0</v>
      </c>
      <c r="J9" s="876">
        <f>SUM($C9:$I9)</f>
        <v>0</v>
      </c>
      <c r="K9" s="877" cm="1">
        <f t="array" ref="K9">SUMPRODUCT(Calculation!DD$11:DD$65*(Calculation!$FJ$11:$FJ$65=$B9)*IF($B$5=0,1,Calculation!$CA$11:$CA$65=$B$5))</f>
        <v>0</v>
      </c>
      <c r="L9" s="877" cm="1">
        <f t="array" ref="L9">SUMPRODUCT(Calculation!DP$11:DP$65*(Calculation!$FJ$11:$FJ$65=$B9)*IF($B$5=0,0,Calculation!$CB$11:$CB$65=$B$5))
+SUMPRODUCT(Calculation!DP$11:DU$65*(Calculation!$FJ$11:$FJ$65=$B9)*IF($B$5=0,0,Calculation!$CC$11:$CC$65=$B$5))</f>
        <v>0</v>
      </c>
      <c r="M9" s="863">
        <f>SUM($K9:$L9)</f>
        <v>0</v>
      </c>
      <c r="N9" s="863" cm="1">
        <f t="array" ref="N9">SUMPRODUCT(Calculation!DE$11:DE$65*(Calculation!$FJ$11:$FJ$65=$B9)*IF($B$5=0,1,Calculation!$CA$11:$CA$65=$B$5))
+SUMPRODUCT(Calculation!DQ$11:DQ$65*(Calculation!$FJ$11:$FJ$65=$B9)*IF($B$5=0,0,Calculation!$CB$11:$CB$65=$B$5))
+SUMPRODUCT(Calculation!DW$11:DW$65*(Calculation!$FJ$11:$FJ$65=$B9)*IF($B$5=0,0,Calculation!$CC$11:$CC$65=$B$5))</f>
        <v>0</v>
      </c>
      <c r="O9" s="863" cm="1">
        <f t="array" ref="O9">SUMPRODUCT(Calculation!DF$11:DF$65*(Calculation!$FJ$11:$FJ$65=$B9)*IF($B$5=0,1,Calculation!$CA$11:$CA$65=$B$5))
+SUMPRODUCT(Calculation!DR$11:DR$65*(Calculation!$FJ$11:$FJ$65=$B9)*IF($B$5=0,0,Calculation!$CB$11:$CB$65=$B$5))
+SUMPRODUCT(Calculation!DX$11:DX$65*(Calculation!$FJ$11:$FJ$65=$B9)*IF($B$5=0,0,Calculation!$CC$11:$CC$65=$B$5))</f>
        <v>0</v>
      </c>
      <c r="P9" s="876">
        <f>SUM($M9:$O9)</f>
        <v>0</v>
      </c>
      <c r="Q9" s="878">
        <f>$J9+$P9</f>
        <v>0</v>
      </c>
      <c r="R9" s="863" cm="1">
        <f t="array" ref="R9">SUMPRODUCT(Calculation!DI$11:DI$65*(Calculation!$FJ$11:$FJ$65=$B9)*IF($B$5=0,1,Calculation!$CA$11:$CA$65=$B$5))</f>
        <v>0</v>
      </c>
      <c r="S9" s="863" cm="1">
        <f t="array" ref="S9">SUMPRODUCT(Calculation!DJ$11:DJ$65*(Calculation!$FJ$11:$FJ$65=$B9)*IF($B$5=0,1,Calculation!$CA$11:$CA$65=$B$5))
+(SUMPRODUCT(Calculation!DS$11:DS$65*(Calculation!$FJ$11:$FJ$65=$B9)*IF($B$5=0,0,Calculation!$CB$11:$CB$65=$B$5))
+SUMPRODUCT(Calculation!DY$11:DY$65*(Calculation!$FJ$11:$FJ$65=$B9)*IF($B$5=0,0,Calculation!$CC$11:$CC$65=$B$5)))*IF(INDEX(Settings[],MATCH(3001,Settings[ID],0),2)="B",1,0)</f>
        <v>0</v>
      </c>
      <c r="T9" s="863" cm="1">
        <f t="array" ref="T9">SUMPRODUCT(Calculation!DK$11:DK$65*(Calculation!$FJ$11:$FJ$65=$B9)*IF($B$5=0,1,Calculation!$CA$11:$CA$65=$B$5))
+(SUMPRODUCT(Calculation!DS$11:DS$65*(Calculation!$FJ$11:$FJ$65=$B9)*IF($B$5=0,0,Calculation!$CB$11:$CB$65=$B$5))
+SUMPRODUCT(Calculation!DY$11:DY$65*(Calculation!$FJ$11:$FJ$65=$B9)*IF($B$5=0,0,Calculation!$CC$11:$CC$65=$B$5)))*IF(INDEX(Settings[],MATCH(3001,Settings[ID],0),2)="B",0,1)</f>
        <v>0</v>
      </c>
      <c r="U9" s="863" cm="1">
        <f t="array" ref="U9">SUMPRODUCT(Calculation!DL$11:DL$65*(Calculation!$FJ$11:$FJ$65=$B9)*IF($B$5=0,1,Calculation!$CA$11:$CA$65=$B$5))</f>
        <v>0</v>
      </c>
      <c r="V9" s="863" cm="1">
        <f t="array" ref="V9">SUMPRODUCT(Calculation!DM$11:DM$65*(Calculation!$FJ$11:$FJ$65=$B9)*IF($B$5=0,1,Calculation!$CA$11:$CA$65=$B$5))
+(SUMPRODUCT(Calculation!DT$11:DT$65*(Calculation!$FJ$11:$FJ$65=$B9)*IF($B$5=0,0,Calculation!$CB$11:$CB$65=$B$5))
+SUMPRODUCT(Calculation!DZ$11:DZ$65*(Calculation!$FJ$11:$FJ$65=$B9)*IF($B$5=0,0,Calculation!$CC$11:$CC$65=$B$5)))*IF(INDEX(Settings[],MATCH(3002,Settings[ID],0),2)="B",1,0)</f>
        <v>0</v>
      </c>
      <c r="W9" s="863" cm="1">
        <f t="array" ref="W9">SUMPRODUCT(Calculation!DN$11:DN$65*(Calculation!$FJ$11:$FJ$65=$B9)*IF($B$5=0,1,Calculation!$CA$11:$CA$65=$B$5))
+(SUMPRODUCT(Calculation!DT$11:DT$65*(Calculation!$FJ$11:$FJ$65=$B9)*IF($B$5=0,0,Calculation!$CB$11:$CB$65=$B$5))
+SUMPRODUCT(Calculation!DZ$11:DZ$65*(Calculation!$FJ$11:$FJ$65=$B9)*IF($B$5=0,0,Calculation!$CC$11:$CC$65=$B$5)))*IF(INDEX(Settings[],MATCH(3002,Settings[ID],0),2)="B",0,1)</f>
        <v>0</v>
      </c>
      <c r="X9" s="863" cm="1">
        <f t="array" ref="X9">SUMPRODUCT(Calculation!DO$11:DO$65*(Calculation!$FJ$11:$FJ$65=$B9)*IF($B$5=0,1,Calculation!$CA$11:$CA$65=$B$5))
+SUMPRODUCT(Calculation!DU$11:DU$65*(Calculation!$FJ$11:$FJ$65=$B9)*IF($B$5=0,0,Calculation!$CB$11:$CB$65=$B$5))
+SUMPRODUCT(Calculation!EA$11:EA$65*(Calculation!$FJ$11:$FJ$65=$B9)*IF($B$5=0,0,Calculation!$CC$11:$CC$65=$B$5))</f>
        <v>0</v>
      </c>
      <c r="Y9" s="879">
        <f>SUM($Q9:$X9)</f>
        <v>0</v>
      </c>
      <c r="Z9" s="863" cm="1">
        <f t="array" ref="Z9">SUMPRODUCT(Calculation!DQ$11:DQ$65*(Calculation!$FJ$11:$FJ$65=$B9)*IF($B$5=0,1,0))</f>
        <v>0</v>
      </c>
      <c r="AA9" s="863" cm="1">
        <f t="array" ref="AA9">SUMPRODUCT(Calculation!DR$11:DR$65*(Calculation!$FJ$11:$FJ$65=$B9)*IF($B$5=0,1,0))</f>
        <v>0</v>
      </c>
      <c r="AB9" s="863" cm="1">
        <f t="array" ref="AB9">SUMPRODUCT(Calculation!DS$11:DS$65*(Calculation!$FJ$11:$FJ$65=$B9)*IF($B$5=0,1,0))</f>
        <v>0</v>
      </c>
      <c r="AC9" s="863" cm="1">
        <f t="array" ref="AC9">SUMPRODUCT(Calculation!DT$11:DT$65*(Calculation!$FJ$11:$FJ$65=$B9)*IF($B$5=0,1,0))</f>
        <v>0</v>
      </c>
      <c r="AD9" s="863" cm="1">
        <f t="array" ref="AD9">SUMPRODUCT(Calculation!DU$11:DU$65*(Calculation!$FJ$11:$FJ$65=$B9)*IF($B$5=0,1,0))</f>
        <v>0</v>
      </c>
      <c r="AE9" s="879">
        <f>IF(SUM($Z9:$AD9)=0,0,SUM($Y9:$AD9))</f>
        <v>0</v>
      </c>
      <c r="AF9" s="863" cm="1">
        <f t="array" ref="AF9">SUMPRODUCT(Calculation!DW$11:DW$65*(Calculation!$FJ$11:$FJ$65=$B9)*IF($B$5=0,1,0))</f>
        <v>0</v>
      </c>
      <c r="AG9" s="863" cm="1">
        <f t="array" ref="AG9">SUMPRODUCT(Calculation!DX$11:DX$65*(Calculation!$FJ$11:$FJ$65=$B9)*IF($B$5=0,1,0))</f>
        <v>0</v>
      </c>
      <c r="AH9" s="863" cm="1">
        <f t="array" ref="AH9">SUMPRODUCT(Calculation!DY$11:DY$65*(Calculation!$FJ$11:$FJ$65=$B9)*IF($B$5=0,1,0))</f>
        <v>0</v>
      </c>
      <c r="AI9" s="863" cm="1">
        <f t="array" ref="AI9">SUMPRODUCT(Calculation!DZ$11:DZ$65*(Calculation!$FJ$11:$FJ$65=$B9)*IF($B$5=0,1,0))</f>
        <v>0</v>
      </c>
      <c r="AJ9" s="863" cm="1">
        <f t="array" ref="AJ9">SUMPRODUCT(Calculation!EA$11:EA$65*(Calculation!$FJ$11:$FJ$65=$B9)*IF($B$5=0,1,0))</f>
        <v>0</v>
      </c>
      <c r="AK9" s="879">
        <f>IF(SUM(Cluster1[[Auss.7]:[Sonstige11]])=0,0,SUM($Y9:$AD9,$AF9:$AJ9))</f>
        <v>0</v>
      </c>
      <c r="AL9" s="278">
        <f>IF($B$5=0,$AK9,$Y9)</f>
        <v>0</v>
      </c>
    </row>
    <row r="10" spans="1:38">
      <c r="B10" s="944" t="s">
        <v>232</v>
      </c>
      <c r="C10" s="863" cm="1">
        <f t="array" ref="C10">SUMPRODUCT(Calculation!CV$11:CV$65*(Calculation!$FJ$11:$FJ$65=$B10)*IF($B$5=0,1,Calculation!$CA$11:$CA$65=$B$5))</f>
        <v>0</v>
      </c>
      <c r="D10" s="863" cm="1">
        <f t="array" ref="D10">SUMPRODUCT(Calculation!CW$11:CW$65*(Calculation!$FJ$11:$FJ$65=$B10)*IF($B$5=0,1,Calculation!$CA$11:$CA$65=$B$5))</f>
        <v>0</v>
      </c>
      <c r="E10" s="863" cm="1">
        <f t="array" ref="E10">SUMPRODUCT(Calculation!CX$11:CX$65*(Calculation!$FJ$11:$FJ$65=$B10)*IF($B$5=0,1,Calculation!$CA$11:$CA$65=$B$5))</f>
        <v>0</v>
      </c>
      <c r="F10" s="863" cm="1">
        <f t="array" ref="F10">SUMPRODUCT(Calculation!CY$11:CY$65*(Calculation!$FJ$11:$FJ$65=$B10)*IF($B$5=0,1,Calculation!$CA$11:$CA$65=$B$5))</f>
        <v>0</v>
      </c>
      <c r="G10" s="863" cm="1">
        <f t="array" ref="G10">SUMPRODUCT(Calculation!CZ$11:CZ$65*(Calculation!$FJ$11:$FJ$65=$B10)*IF($B$5=0,1,Calculation!$CA$11:$CA$65=$B$5))</f>
        <v>0</v>
      </c>
      <c r="H10" s="863" cm="1">
        <f t="array" ref="H10">SUMPRODUCT(Calculation!DA$11:DA$65*(Calculation!$FJ$11:$FJ$65=$B10)*IF($B$5=0,1,Calculation!$CA$11:$CA$65=$B$5))</f>
        <v>0</v>
      </c>
      <c r="I10" s="863" cm="1">
        <f t="array" ref="I10">SUMPRODUCT(Calculation!DB$11:DB$65*(Calculation!$FJ$11:$FJ$65=$B10)*IF($B$5=0,1,Calculation!$CA$11:$CA$65=$B$5))</f>
        <v>0</v>
      </c>
      <c r="J10" s="876">
        <f>SUM($C10:$I10)</f>
        <v>0</v>
      </c>
      <c r="K10" s="877" cm="1">
        <f t="array" ref="K10">SUMPRODUCT(Calculation!DD$11:DD$65*(Calculation!$FJ$11:$FJ$65=$B10)*IF($B$5=0,1,Calculation!$CA$11:$CA$65=$B$5))</f>
        <v>0</v>
      </c>
      <c r="L10" s="877" cm="1">
        <f t="array" ref="L10">SUMPRODUCT(Calculation!DP$11:DP$65*(Calculation!$FJ$11:$FJ$65=$B10)*IF($B$5=0,0,Calculation!$CB$11:$CB$65=$B$5))
+SUMPRODUCT(Calculation!DP$11:DU$65*(Calculation!$FJ$11:$FJ$65=$B10)*IF($B$5=0,0,Calculation!$CC$11:$CC$65=$B$5))</f>
        <v>0</v>
      </c>
      <c r="M10" s="863">
        <f>SUM($K10:$L10)</f>
        <v>0</v>
      </c>
      <c r="N10" s="863" cm="1">
        <f t="array" ref="N10">SUMPRODUCT(Calculation!DE$11:DE$65*(Calculation!$FJ$11:$FJ$65=$B10)*IF($B$5=0,1,Calculation!$CA$11:$CA$65=$B$5))
+SUMPRODUCT(Calculation!DQ$11:DQ$65*(Calculation!$FJ$11:$FJ$65=$B10)*IF($B$5=0,0,Calculation!$CB$11:$CB$65=$B$5))
+SUMPRODUCT(Calculation!DW$11:DW$65*(Calculation!$FJ$11:$FJ$65=$B10)*IF($B$5=0,0,Calculation!$CC$11:$CC$65=$B$5))</f>
        <v>0</v>
      </c>
      <c r="O10" s="863" cm="1">
        <f t="array" ref="O10">SUMPRODUCT(Calculation!DF$11:DF$65*(Calculation!$FJ$11:$FJ$65=$B10)*IF($B$5=0,1,Calculation!$CA$11:$CA$65=$B$5))
+SUMPRODUCT(Calculation!DR$11:DR$65*(Calculation!$FJ$11:$FJ$65=$B10)*IF($B$5=0,0,Calculation!$CB$11:$CB$65=$B$5))
+SUMPRODUCT(Calculation!DX$11:DX$65*(Calculation!$FJ$11:$FJ$65=$B10)*IF($B$5=0,0,Calculation!$CC$11:$CC$65=$B$5))</f>
        <v>0</v>
      </c>
      <c r="P10" s="876">
        <f>SUM($M10:$O10)</f>
        <v>0</v>
      </c>
      <c r="Q10" s="878">
        <f>$J10+$P10</f>
        <v>0</v>
      </c>
      <c r="R10" s="863" cm="1">
        <f t="array" ref="R10">SUMPRODUCT(Calculation!DI$11:DI$65*(Calculation!$FJ$11:$FJ$65=$B10)*IF($B$5=0,1,Calculation!$CA$11:$CA$65=$B$5))</f>
        <v>0</v>
      </c>
      <c r="S10" s="863" cm="1">
        <f t="array" ref="S10">SUMPRODUCT(Calculation!DJ$11:DJ$65*(Calculation!$FJ$11:$FJ$65=$B10)*IF($B$5=0,1,Calculation!$CA$11:$CA$65=$B$5))
+(SUMPRODUCT(Calculation!DS$11:DS$65*(Calculation!$FJ$11:$FJ$65=$B10)*IF($B$5=0,0,Calculation!$CB$11:$CB$65=$B$5))
+SUMPRODUCT(Calculation!DY$11:DY$65*(Calculation!$FJ$11:$FJ$65=$B10)*IF($B$5=0,0,Calculation!$CC$11:$CC$65=$B$5)))*IF(INDEX(Settings[],MATCH(3001,Settings[ID],0),2)="B",1,0)</f>
        <v>0</v>
      </c>
      <c r="T10" s="863" cm="1">
        <f t="array" ref="T10">SUMPRODUCT(Calculation!DK$11:DK$65*(Calculation!$FJ$11:$FJ$65=$B10)*IF($B$5=0,1,Calculation!$CA$11:$CA$65=$B$5))
+(SUMPRODUCT(Calculation!DS$11:DS$65*(Calculation!$FJ$11:$FJ$65=$B10)*IF($B$5=0,0,Calculation!$CB$11:$CB$65=$B$5))
+SUMPRODUCT(Calculation!DY$11:DY$65*(Calculation!$FJ$11:$FJ$65=$B10)*IF($B$5=0,0,Calculation!$CC$11:$CC$65=$B$5)))*IF(INDEX(Settings[],MATCH(3001,Settings[ID],0),2)="B",0,1)</f>
        <v>0</v>
      </c>
      <c r="U10" s="863" cm="1">
        <f t="array" ref="U10">SUMPRODUCT(Calculation!DL$11:DL$65*(Calculation!$FJ$11:$FJ$65=$B10)*IF($B$5=0,1,Calculation!$CA$11:$CA$65=$B$5))</f>
        <v>0</v>
      </c>
      <c r="V10" s="863" cm="1">
        <f t="array" ref="V10">SUMPRODUCT(Calculation!DM$11:DM$65*(Calculation!$FJ$11:$FJ$65=$B10)*IF($B$5=0,1,Calculation!$CA$11:$CA$65=$B$5))
+(SUMPRODUCT(Calculation!DT$11:DT$65*(Calculation!$FJ$11:$FJ$65=$B10)*IF($B$5=0,0,Calculation!$CB$11:$CB$65=$B$5))
+SUMPRODUCT(Calculation!DZ$11:DZ$65*(Calculation!$FJ$11:$FJ$65=$B10)*IF($B$5=0,0,Calculation!$CC$11:$CC$65=$B$5)))*IF(INDEX(Settings[],MATCH(3002,Settings[ID],0),2)="B",1,0)</f>
        <v>0</v>
      </c>
      <c r="W10" s="863" cm="1">
        <f t="array" ref="W10">SUMPRODUCT(Calculation!DN$11:DN$65*(Calculation!$FJ$11:$FJ$65=$B10)*IF($B$5=0,1,Calculation!$CA$11:$CA$65=$B$5))
+(SUMPRODUCT(Calculation!DT$11:DT$65*(Calculation!$FJ$11:$FJ$65=$B10)*IF($B$5=0,0,Calculation!$CB$11:$CB$65=$B$5))
+SUMPRODUCT(Calculation!DZ$11:DZ$65*(Calculation!$FJ$11:$FJ$65=$B10)*IF($B$5=0,0,Calculation!$CC$11:$CC$65=$B$5)))*IF(INDEX(Settings[],MATCH(3002,Settings[ID],0),2)="B",0,1)</f>
        <v>0</v>
      </c>
      <c r="X10" s="863" cm="1">
        <f t="array" ref="X10">SUMPRODUCT(Calculation!DO$11:DO$65*(Calculation!$FJ$11:$FJ$65=$B10)*IF($B$5=0,1,Calculation!$CA$11:$CA$65=$B$5))
+SUMPRODUCT(Calculation!DU$11:DU$65*(Calculation!$FJ$11:$FJ$65=$B10)*IF($B$5=0,0,Calculation!$CB$11:$CB$65=$B$5))
+SUMPRODUCT(Calculation!EA$11:EA$65*(Calculation!$FJ$11:$FJ$65=$B10)*IF($B$5=0,0,Calculation!$CC$11:$CC$65=$B$5))</f>
        <v>0</v>
      </c>
      <c r="Y10" s="879">
        <f>SUM($Q10:$X10)</f>
        <v>0</v>
      </c>
      <c r="Z10" s="863" cm="1">
        <f t="array" ref="Z10">SUMPRODUCT(Calculation!DQ$11:DQ$65*(Calculation!$FJ$11:$FJ$65=$B10)*IF($B$5=0,1,0))</f>
        <v>0</v>
      </c>
      <c r="AA10" s="863" cm="1">
        <f t="array" ref="AA10">SUMPRODUCT(Calculation!DR$11:DR$65*(Calculation!$FJ$11:$FJ$65=$B10)*IF($B$5=0,1,0))</f>
        <v>0</v>
      </c>
      <c r="AB10" s="863" cm="1">
        <f t="array" ref="AB10">SUMPRODUCT(Calculation!DS$11:DS$65*(Calculation!$FJ$11:$FJ$65=$B10)*IF($B$5=0,1,0))</f>
        <v>0</v>
      </c>
      <c r="AC10" s="863" cm="1">
        <f t="array" ref="AC10">SUMPRODUCT(Calculation!DT$11:DT$65*(Calculation!$FJ$11:$FJ$65=$B10)*IF($B$5=0,1,0))</f>
        <v>0</v>
      </c>
      <c r="AD10" s="863" cm="1">
        <f t="array" ref="AD10">SUMPRODUCT(Calculation!DU$11:DU$65*(Calculation!$FJ$11:$FJ$65=$B10)*IF($B$5=0,1,0))</f>
        <v>0</v>
      </c>
      <c r="AE10" s="879">
        <f>IF(SUM($Z10:$AD10)=0,0,SUM($Y10:$AD10))</f>
        <v>0</v>
      </c>
      <c r="AF10" s="863" cm="1">
        <f t="array" ref="AF10">SUMPRODUCT(Calculation!DW$11:DW$65*(Calculation!$FJ$11:$FJ$65=$B10)*IF($B$5=0,1,0))</f>
        <v>0</v>
      </c>
      <c r="AG10" s="863" cm="1">
        <f t="array" ref="AG10">SUMPRODUCT(Calculation!DX$11:DX$65*(Calculation!$FJ$11:$FJ$65=$B10)*IF($B$5=0,1,0))</f>
        <v>0</v>
      </c>
      <c r="AH10" s="863" cm="1">
        <f t="array" ref="AH10">SUMPRODUCT(Calculation!DY$11:DY$65*(Calculation!$FJ$11:$FJ$65=$B10)*IF($B$5=0,1,0))</f>
        <v>0</v>
      </c>
      <c r="AI10" s="863" cm="1">
        <f t="array" ref="AI10">SUMPRODUCT(Calculation!DZ$11:DZ$65*(Calculation!$FJ$11:$FJ$65=$B10)*IF($B$5=0,1,0))</f>
        <v>0</v>
      </c>
      <c r="AJ10" s="863" cm="1">
        <f t="array" ref="AJ10">SUMPRODUCT(Calculation!EA$11:EA$65*(Calculation!$FJ$11:$FJ$65=$B10)*IF($B$5=0,1,0))</f>
        <v>0</v>
      </c>
      <c r="AK10" s="879">
        <f>IF(SUM(Cluster1[[Auss.7]:[Sonstige11]])=0,0,SUM($Y10:$AD10,$AF10:$AJ10))</f>
        <v>0</v>
      </c>
      <c r="AL10" s="278">
        <f>IF($B$5=0,$AK10,$Y10)</f>
        <v>0</v>
      </c>
    </row>
    <row r="11" spans="1:38">
      <c r="K11" s="935"/>
      <c r="L11" s="935"/>
    </row>
    <row r="12" spans="1:38">
      <c r="B12" s="294" t="s">
        <v>34</v>
      </c>
      <c r="C12" s="795" t="s">
        <v>1385</v>
      </c>
      <c r="D12" s="795" t="s">
        <v>161</v>
      </c>
      <c r="E12" s="795" t="s">
        <v>335</v>
      </c>
      <c r="F12" s="795" t="s">
        <v>1361</v>
      </c>
      <c r="G12" s="795" t="s">
        <v>1370</v>
      </c>
      <c r="H12" s="795" t="s">
        <v>697</v>
      </c>
      <c r="I12" s="795" t="s">
        <v>27</v>
      </c>
      <c r="J12" s="795" t="s">
        <v>10</v>
      </c>
      <c r="K12" s="936" t="s">
        <v>2617</v>
      </c>
      <c r="L12" s="936" t="s">
        <v>1368</v>
      </c>
      <c r="M12" s="795" t="s">
        <v>2606</v>
      </c>
      <c r="N12" s="795" t="s">
        <v>698</v>
      </c>
      <c r="O12" s="795" t="s">
        <v>1</v>
      </c>
      <c r="P12" s="795" t="s">
        <v>9</v>
      </c>
      <c r="Q12" s="795" t="s">
        <v>12</v>
      </c>
      <c r="R12" s="795" t="s">
        <v>29</v>
      </c>
      <c r="S12" s="795" t="s">
        <v>28</v>
      </c>
      <c r="T12" s="795" t="s">
        <v>13</v>
      </c>
      <c r="U12" s="795" t="s">
        <v>1371</v>
      </c>
      <c r="V12" s="795" t="s">
        <v>1372</v>
      </c>
      <c r="W12" s="795" t="s">
        <v>14</v>
      </c>
      <c r="X12" s="795" t="s">
        <v>666</v>
      </c>
      <c r="Y12" s="795" t="s">
        <v>11</v>
      </c>
      <c r="Z12" s="795" t="s">
        <v>2594</v>
      </c>
      <c r="AA12" s="795" t="s">
        <v>2595</v>
      </c>
      <c r="AB12" s="795" t="s">
        <v>2596</v>
      </c>
      <c r="AC12" s="795" t="s">
        <v>2597</v>
      </c>
      <c r="AD12" s="795" t="s">
        <v>2598</v>
      </c>
      <c r="AE12" s="795" t="s">
        <v>2599</v>
      </c>
      <c r="AF12" s="795" t="s">
        <v>2600</v>
      </c>
      <c r="AG12" s="795" t="s">
        <v>2601</v>
      </c>
      <c r="AH12" s="795" t="s">
        <v>2602</v>
      </c>
      <c r="AI12" s="795" t="s">
        <v>2603</v>
      </c>
      <c r="AJ12" s="795" t="s">
        <v>2604</v>
      </c>
      <c r="AK12" s="880" t="s">
        <v>2605</v>
      </c>
      <c r="AL12" s="229" t="s">
        <v>36</v>
      </c>
    </row>
    <row r="13" spans="1:38">
      <c r="B13" s="944" t="s">
        <v>1382</v>
      </c>
      <c r="C13" s="863" cm="1">
        <f t="array" ref="C13">SUMPRODUCT(Calculation!CV$11:CV$65*(Calculation!$FK$11:$FK$65=$B13)*IF($B$5=0,1,Calculation!$CA$11:$CA$65=$B$5))</f>
        <v>0</v>
      </c>
      <c r="D13" s="863" cm="1">
        <f t="array" ref="D13">SUMPRODUCT(Calculation!CW$11:CW$65*(Calculation!$FK$11:$FK$65=$B13)*IF($B$5=0,1,Calculation!$CA$11:$CA$65=$B$5))</f>
        <v>0</v>
      </c>
      <c r="E13" s="863" cm="1">
        <f t="array" ref="E13">SUMPRODUCT(Calculation!CX$11:CX$65*(Calculation!$FK$11:$FK$65=$B13)*IF($B$5=0,1,Calculation!$CA$11:$CA$65=$B$5))</f>
        <v>0</v>
      </c>
      <c r="F13" s="863" cm="1">
        <f t="array" ref="F13">SUMPRODUCT(Calculation!CY$11:CY$65*(Calculation!$FK$11:$FK$65=$B13)*IF($B$5=0,1,Calculation!$CA$11:$CA$65=$B$5))</f>
        <v>0</v>
      </c>
      <c r="G13" s="863" cm="1">
        <f t="array" ref="G13">SUMPRODUCT(Calculation!CZ$11:CZ$65*(Calculation!$FK$11:$FK$65=$B13)*IF($B$5=0,1,Calculation!$CA$11:$CA$65=$B$5))</f>
        <v>0</v>
      </c>
      <c r="H13" s="863" cm="1">
        <f t="array" ref="H13">SUMPRODUCT(Calculation!DA$11:DA$65*(Calculation!$FK$11:$FK$65=$B13)*IF($B$5=0,1,Calculation!$CA$11:$CA$65=$B$5))</f>
        <v>0</v>
      </c>
      <c r="I13" s="863" cm="1">
        <f t="array" ref="I13">SUMPRODUCT(Calculation!DB$11:DB$65*(Calculation!$FK$11:$FK$65=$B13)*IF($B$5=0,1,Calculation!$CA$11:$CA$65=$B$5))</f>
        <v>0</v>
      </c>
      <c r="J13" s="876">
        <f>SUM($C13:$I13)</f>
        <v>0</v>
      </c>
      <c r="K13" s="877" cm="1">
        <f t="array" ref="K13">SUMPRODUCT(Calculation!DD$11:DD$65*(Calculation!$FK$11:$FK$65=$B13)*IF($B$5=0,1,Calculation!$CA$11:$CA$65=$B$5))</f>
        <v>0</v>
      </c>
      <c r="L13" s="877" cm="1">
        <f t="array" ref="L13">SUMPRODUCT(Calculation!DP$11:DP$65*(Calculation!$FK$11:$FK$65=$B13)*IF($B$5=0,0,Calculation!$CB$11:$CB$65=$B$5))
+SUMPRODUCT(Calculation!DP$11:DU$65*(Calculation!$FK$11:$FK$65=$B13)*IF($B$5=0,0,Calculation!$CC$11:$CC$65=$B$5))</f>
        <v>0</v>
      </c>
      <c r="M13" s="863">
        <f>SUM($K13:$L13)</f>
        <v>0</v>
      </c>
      <c r="N13" s="863" cm="1">
        <f t="array" ref="N13">SUMPRODUCT(Calculation!DE$11:DE$65*(Calculation!$FK$11:$FK$65=$B13)*IF($B$5=0,1,Calculation!$CA$11:$CA$65=$B$5))
+SUMPRODUCT(Calculation!DQ$11:DQ$65*(Calculation!$FK$11:$FK$65=$B13)*IF($B$5=0,0,Calculation!$CB$11:$CB$65=$B$5))
+SUMPRODUCT(Calculation!DW$11:DW$65*(Calculation!$FK$11:$FK$65=$B13)*IF($B$5=0,0,Calculation!$CC$11:$CC$65=$B$5))</f>
        <v>0</v>
      </c>
      <c r="O13" s="863" cm="1">
        <f t="array" ref="O13">SUMPRODUCT(Calculation!DF$11:DF$65*(Calculation!$FK$11:$FK$65=$B13)*IF($B$5=0,1,Calculation!$CA$11:$CA$65=$B$5))
+SUMPRODUCT(Calculation!DR$11:DR$65*(Calculation!$FK$11:$FK$65=$B13)*IF($B$5=0,0,Calculation!$CB$11:$CB$65=$B$5))
+SUMPRODUCT(Calculation!DX$11:DX$65*(Calculation!$FK$11:$FK$65=$B13)*IF($B$5=0,0,Calculation!$CC$11:$CC$65=$B$5))</f>
        <v>0</v>
      </c>
      <c r="P13" s="876">
        <f>SUM($M13:$O13)</f>
        <v>0</v>
      </c>
      <c r="Q13" s="878">
        <f>$J13+$P13</f>
        <v>0</v>
      </c>
      <c r="R13" s="863" cm="1">
        <f t="array" ref="R13">SUMPRODUCT(Calculation!DI$11:DI$65*(Calculation!$FK$11:$FK$65=$B13)*IF($B$5=0,1,Calculation!$CA$11:$CA$65=$B$5))</f>
        <v>0</v>
      </c>
      <c r="S13" s="863" cm="1">
        <f t="array" ref="S13">SUMPRODUCT(Calculation!DJ$11:DJ$65*(Calculation!$FK$11:$FK$65=$B13)*IF($B$5=0,1,Calculation!$CA$11:$CA$65=$B$5))
+(SUMPRODUCT(Calculation!DS$11:DS$65*(Calculation!$FK$11:$FK$65=$B13)*IF($B$5=0,0,Calculation!$CB$11:$CB$65=$B$5))
+SUMPRODUCT(Calculation!DY$11:DY$65*(Calculation!$FK$11:$FK$65=$B13)*IF($B$5=0,0,Calculation!$CC$11:$CC$65=$B$5)))*IF(INDEX(Settings[],MATCH(3001,Settings[ID],0),2)="B",1,0)</f>
        <v>0</v>
      </c>
      <c r="T13" s="863" cm="1">
        <f t="array" ref="T13">SUMPRODUCT(Calculation!DK$11:DK$65*(Calculation!$FK$11:$FK$65=$B13)*IF($B$5=0,1,Calculation!$CA$11:$CA$65=$B$5))
+(SUMPRODUCT(Calculation!DS$11:DS$65*(Calculation!$FK$11:$FK$65=$B13)*IF($B$5=0,0,Calculation!$CB$11:$CB$65=$B$5))
+SUMPRODUCT(Calculation!DY$11:DY$65*(Calculation!$FK$11:$FK$65=$B13)*IF($B$5=0,0,Calculation!$CC$11:$CC$65=$B$5)))*IF(INDEX(Settings[],MATCH(3001,Settings[ID],0),2)="B",0,1)</f>
        <v>0</v>
      </c>
      <c r="U13" s="863" cm="1">
        <f t="array" ref="U13">SUMPRODUCT(Calculation!DL$11:DL$65*(Calculation!$FK$11:$FK$65=$B13)*IF($B$5=0,1,Calculation!$CA$11:$CA$65=$B$5))</f>
        <v>0</v>
      </c>
      <c r="V13" s="863" cm="1">
        <f t="array" ref="V13">SUMPRODUCT(Calculation!DM$11:DM$65*(Calculation!$FK$11:$FK$65=$B13)*IF($B$5=0,1,Calculation!$CA$11:$CA$65=$B$5))
+(SUMPRODUCT(Calculation!DT$11:DT$65*(Calculation!$FK$11:$FK$65=$B13)*IF($B$5=0,0,Calculation!$CB$11:$CB$65=$B$5))
+SUMPRODUCT(Calculation!DZ$11:DZ$65*(Calculation!$FK$11:$FK$65=$B13)*IF($B$5=0,0,Calculation!$CC$11:$CC$65=$B$5)))*IF(INDEX(Settings[],MATCH(3002,Settings[ID],0),2)="B",1,0)</f>
        <v>0</v>
      </c>
      <c r="W13" s="863" cm="1">
        <f t="array" ref="W13">SUMPRODUCT(Calculation!DN$11:DN$65*(Calculation!$FK$11:$FK$65=$B13)*IF($B$5=0,1,Calculation!$CA$11:$CA$65=$B$5))
+(SUMPRODUCT(Calculation!DT$11:DT$65*(Calculation!$FK$11:$FK$65=$B13)*IF($B$5=0,0,Calculation!$CB$11:$CB$65=$B$5))
+SUMPRODUCT(Calculation!DZ$11:DZ$65*(Calculation!$FK$11:$FK$65=$B13)*IF($B$5=0,0,Calculation!$CC$11:$CC$65=$B$5)))*IF(INDEX(Settings[],MATCH(3002,Settings[ID],0),2)="B",0,1)</f>
        <v>0</v>
      </c>
      <c r="X13" s="863" cm="1">
        <f t="array" ref="X13">SUMPRODUCT(Calculation!DO$11:DO$65*(Calculation!$FK$11:$FK$65=$B13)*IF($B$5=0,1,Calculation!$CA$11:$CA$65=$B$5))
+SUMPRODUCT(Calculation!DU$11:DU$65*(Calculation!$FK$11:$FK$65=$B13)*IF($B$5=0,0,Calculation!$CB$11:$CB$65=$B$5))
+SUMPRODUCT(Calculation!EA$11:EA$65*(Calculation!$FK$11:$FK$65=$B13)*IF($B$5=0,0,Calculation!$CC$11:$CC$65=$B$5))</f>
        <v>0</v>
      </c>
      <c r="Y13" s="879">
        <f>SUM($Q13:$X13)</f>
        <v>0</v>
      </c>
      <c r="Z13" s="863" cm="1">
        <f t="array" ref="Z13">SUMPRODUCT(Calculation!DQ$11:DQ$65*(Calculation!$FK$11:$FK$65=$B13)*IF($B$5=0,1,0))</f>
        <v>0</v>
      </c>
      <c r="AA13" s="863" cm="1">
        <f t="array" ref="AA13">SUMPRODUCT(Calculation!DR$11:DR$65*(Calculation!$FK$11:$FK$65=$B13)*IF($B$5=0,1,0))</f>
        <v>0</v>
      </c>
      <c r="AB13" s="863" cm="1">
        <f t="array" ref="AB13">SUMPRODUCT(Calculation!DS$11:DS$65*(Calculation!$FK$11:$FK$65=$B13)*IF($B$5=0,1,0))</f>
        <v>0</v>
      </c>
      <c r="AC13" s="863" cm="1">
        <f t="array" ref="AC13">SUMPRODUCT(Calculation!DT$11:DT$65*(Calculation!$FK$11:$FK$65=$B13)*IF($B$5=0,1,0))</f>
        <v>0</v>
      </c>
      <c r="AD13" s="863" cm="1">
        <f t="array" ref="AD13">SUMPRODUCT(Calculation!DU$11:DU$65*(Calculation!$FK$11:$FK$65=$B13)*IF($B$5=0,1,0))</f>
        <v>0</v>
      </c>
      <c r="AE13" s="879">
        <f>IF(SUM($Z13:$AD13)=0,0,SUM($Y13:$AD13))</f>
        <v>0</v>
      </c>
      <c r="AF13" s="863" cm="1">
        <f t="array" ref="AF13">SUMPRODUCT(Calculation!DW$11:DW$65*(Calculation!$FK$11:$FK$65=$B13)*IF($B$5=0,1,0))</f>
        <v>0</v>
      </c>
      <c r="AG13" s="863" cm="1">
        <f t="array" ref="AG13">SUMPRODUCT(Calculation!DX$11:DX$65*(Calculation!$FK$11:$FK$65=$B13)*IF($B$5=0,1,0))</f>
        <v>0</v>
      </c>
      <c r="AH13" s="863" cm="1">
        <f t="array" ref="AH13">SUMPRODUCT(Calculation!DY$11:DY$65*(Calculation!$FK$11:$FK$65=$B13)*IF($B$5=0,1,0))</f>
        <v>0</v>
      </c>
      <c r="AI13" s="863" cm="1">
        <f t="array" ref="AI13">SUMPRODUCT(Calculation!DZ$11:DZ$65*(Calculation!$FK$11:$FK$65=$B13)*IF($B$5=0,1,0))</f>
        <v>0</v>
      </c>
      <c r="AJ13" s="863" cm="1">
        <f t="array" ref="AJ13">SUMPRODUCT(Calculation!EA$11:EA$65*(Calculation!$FK$11:$FK$65=$B13)*IF($B$5=0,1,0))</f>
        <v>0</v>
      </c>
      <c r="AK13" s="879">
        <f>IF(SUM(Cluster2[[Auss.7]:[Sonstige11]])=0,0,SUM($Y13:$AD13,$AF13:$AJ13))</f>
        <v>0</v>
      </c>
      <c r="AL13" s="278">
        <f>IF($B$5=0,$AK13,$Y13)</f>
        <v>0</v>
      </c>
    </row>
    <row r="14" spans="1:38">
      <c r="B14" s="944" t="s">
        <v>1383</v>
      </c>
      <c r="C14" s="863" cm="1">
        <f t="array" ref="C14">SUMPRODUCT(Calculation!CV$11:CV$65*(Calculation!$FK$11:$FK$65=$B14)*IF($B$5=0,1,Calculation!$CA$11:$CA$65=$B$5))</f>
        <v>0</v>
      </c>
      <c r="D14" s="863" cm="1">
        <f t="array" ref="D14">SUMPRODUCT(Calculation!CW$11:CW$65*(Calculation!$FK$11:$FK$65=$B14)*IF($B$5=0,1,Calculation!$CA$11:$CA$65=$B$5))</f>
        <v>0</v>
      </c>
      <c r="E14" s="863" cm="1">
        <f t="array" ref="E14">SUMPRODUCT(Calculation!CX$11:CX$65*(Calculation!$FK$11:$FK$65=$B14)*IF($B$5=0,1,Calculation!$CA$11:$CA$65=$B$5))</f>
        <v>0</v>
      </c>
      <c r="F14" s="863" cm="1">
        <f t="array" ref="F14">SUMPRODUCT(Calculation!CY$11:CY$65*(Calculation!$FK$11:$FK$65=$B14)*IF($B$5=0,1,Calculation!$CA$11:$CA$65=$B$5))</f>
        <v>0</v>
      </c>
      <c r="G14" s="863" cm="1">
        <f t="array" ref="G14">SUMPRODUCT(Calculation!CZ$11:CZ$65*(Calculation!$FK$11:$FK$65=$B14)*IF($B$5=0,1,Calculation!$CA$11:$CA$65=$B$5))</f>
        <v>0</v>
      </c>
      <c r="H14" s="863" cm="1">
        <f t="array" ref="H14">SUMPRODUCT(Calculation!DA$11:DA$65*(Calculation!$FK$11:$FK$65=$B14)*IF($B$5=0,1,Calculation!$CA$11:$CA$65=$B$5))</f>
        <v>0</v>
      </c>
      <c r="I14" s="863" cm="1">
        <f t="array" ref="I14">SUMPRODUCT(Calculation!DB$11:DB$65*(Calculation!$FK$11:$FK$65=$B14)*IF($B$5=0,1,Calculation!$CA$11:$CA$65=$B$5))</f>
        <v>0</v>
      </c>
      <c r="J14" s="876">
        <f>SUM($C14:$I14)</f>
        <v>0</v>
      </c>
      <c r="K14" s="877" cm="1">
        <f t="array" ref="K14">SUMPRODUCT(Calculation!DD$11:DD$65*(Calculation!$FK$11:$FK$65=$B14)*IF($B$5=0,1,Calculation!$CA$11:$CA$65=$B$5))</f>
        <v>0</v>
      </c>
      <c r="L14" s="877" cm="1">
        <f t="array" ref="L14">SUMPRODUCT(Calculation!DP$11:DP$65*(Calculation!$FK$11:$FK$65=$B14)*IF($B$5=0,0,Calculation!$CB$11:$CB$65=$B$5))
+SUMPRODUCT(Calculation!DP$11:DU$65*(Calculation!$FK$11:$FK$65=$B14)*IF($B$5=0,0,Calculation!$CC$11:$CC$65=$B$5))</f>
        <v>0</v>
      </c>
      <c r="M14" s="863">
        <f>SUM($K14:$L14)</f>
        <v>0</v>
      </c>
      <c r="N14" s="863" cm="1">
        <f t="array" ref="N14">SUMPRODUCT(Calculation!DE$11:DE$65*(Calculation!$FK$11:$FK$65=$B14)*IF($B$5=0,1,Calculation!$CA$11:$CA$65=$B$5))
+SUMPRODUCT(Calculation!DQ$11:DQ$65*(Calculation!$FK$11:$FK$65=$B14)*IF($B$5=0,0,Calculation!$CB$11:$CB$65=$B$5))
+SUMPRODUCT(Calculation!DW$11:DW$65*(Calculation!$FK$11:$FK$65=$B14)*IF($B$5=0,0,Calculation!$CC$11:$CC$65=$B$5))</f>
        <v>0</v>
      </c>
      <c r="O14" s="863" cm="1">
        <f t="array" ref="O14">SUMPRODUCT(Calculation!DF$11:DF$65*(Calculation!$FK$11:$FK$65=$B14)*IF($B$5=0,1,Calculation!$CA$11:$CA$65=$B$5))
+SUMPRODUCT(Calculation!DR$11:DR$65*(Calculation!$FK$11:$FK$65=$B14)*IF($B$5=0,0,Calculation!$CB$11:$CB$65=$B$5))
+SUMPRODUCT(Calculation!DX$11:DX$65*(Calculation!$FK$11:$FK$65=$B14)*IF($B$5=0,0,Calculation!$CC$11:$CC$65=$B$5))</f>
        <v>0</v>
      </c>
      <c r="P14" s="876">
        <f>SUM($M14:$O14)</f>
        <v>0</v>
      </c>
      <c r="Q14" s="878">
        <f>$J14+$P14</f>
        <v>0</v>
      </c>
      <c r="R14" s="863" cm="1">
        <f t="array" ref="R14">SUMPRODUCT(Calculation!DI$11:DI$65*(Calculation!$FK$11:$FK$65=$B14)*IF($B$5=0,1,Calculation!$CA$11:$CA$65=$B$5))</f>
        <v>0</v>
      </c>
      <c r="S14" s="863" cm="1">
        <f t="array" ref="S14">SUMPRODUCT(Calculation!DJ$11:DJ$65*(Calculation!$FK$11:$FK$65=$B14)*IF($B$5=0,1,Calculation!$CA$11:$CA$65=$B$5))
+(SUMPRODUCT(Calculation!DS$11:DS$65*(Calculation!$FK$11:$FK$65=$B14)*IF($B$5=0,0,Calculation!$CB$11:$CB$65=$B$5))
+SUMPRODUCT(Calculation!DY$11:DY$65*(Calculation!$FK$11:$FK$65=$B14)*IF($B$5=0,0,Calculation!$CC$11:$CC$65=$B$5)))*IF(INDEX(Settings[],MATCH(3001,Settings[ID],0),2)="B",1,0)</f>
        <v>0</v>
      </c>
      <c r="T14" s="863" cm="1">
        <f t="array" ref="T14">SUMPRODUCT(Calculation!DK$11:DK$65*(Calculation!$FK$11:$FK$65=$B14)*IF($B$5=0,1,Calculation!$CA$11:$CA$65=$B$5))
+(SUMPRODUCT(Calculation!DS$11:DS$65*(Calculation!$FK$11:$FK$65=$B14)*IF($B$5=0,0,Calculation!$CB$11:$CB$65=$B$5))
+SUMPRODUCT(Calculation!DY$11:DY$65*(Calculation!$FK$11:$FK$65=$B14)*IF($B$5=0,0,Calculation!$CC$11:$CC$65=$B$5)))*IF(INDEX(Settings[],MATCH(3001,Settings[ID],0),2)="B",0,1)</f>
        <v>0</v>
      </c>
      <c r="U14" s="863" cm="1">
        <f t="array" ref="U14">SUMPRODUCT(Calculation!DL$11:DL$65*(Calculation!$FK$11:$FK$65=$B14)*IF($B$5=0,1,Calculation!$CA$11:$CA$65=$B$5))</f>
        <v>0</v>
      </c>
      <c r="V14" s="863" cm="1">
        <f t="array" ref="V14">SUMPRODUCT(Calculation!DM$11:DM$65*(Calculation!$FK$11:$FK$65=$B14)*IF($B$5=0,1,Calculation!$CA$11:$CA$65=$B$5))
+(SUMPRODUCT(Calculation!DT$11:DT$65*(Calculation!$FK$11:$FK$65=$B14)*IF($B$5=0,0,Calculation!$CB$11:$CB$65=$B$5))
+SUMPRODUCT(Calculation!DZ$11:DZ$65*(Calculation!$FK$11:$FK$65=$B14)*IF($B$5=0,0,Calculation!$CC$11:$CC$65=$B$5)))*IF(INDEX(Settings[],MATCH(3002,Settings[ID],0),2)="B",1,0)</f>
        <v>0</v>
      </c>
      <c r="W14" s="863" cm="1">
        <f t="array" ref="W14">SUMPRODUCT(Calculation!DN$11:DN$65*(Calculation!$FK$11:$FK$65=$B14)*IF($B$5=0,1,Calculation!$CA$11:$CA$65=$B$5))
+(SUMPRODUCT(Calculation!DT$11:DT$65*(Calculation!$FK$11:$FK$65=$B14)*IF($B$5=0,0,Calculation!$CB$11:$CB$65=$B$5))
+SUMPRODUCT(Calculation!DZ$11:DZ$65*(Calculation!$FK$11:$FK$65=$B14)*IF($B$5=0,0,Calculation!$CC$11:$CC$65=$B$5)))*IF(INDEX(Settings[],MATCH(3002,Settings[ID],0),2)="B",0,1)</f>
        <v>0</v>
      </c>
      <c r="X14" s="863" cm="1">
        <f t="array" ref="X14">SUMPRODUCT(Calculation!DO$11:DO$65*(Calculation!$FK$11:$FK$65=$B14)*IF($B$5=0,1,Calculation!$CA$11:$CA$65=$B$5))
+SUMPRODUCT(Calculation!DU$11:DU$65*(Calculation!$FK$11:$FK$65=$B14)*IF($B$5=0,0,Calculation!$CB$11:$CB$65=$B$5))
+SUMPRODUCT(Calculation!EA$11:EA$65*(Calculation!$FK$11:$FK$65=$B14)*IF($B$5=0,0,Calculation!$CC$11:$CC$65=$B$5))</f>
        <v>0</v>
      </c>
      <c r="Y14" s="879">
        <f>SUM($Q14:$X14)</f>
        <v>0</v>
      </c>
      <c r="Z14" s="863" cm="1">
        <f t="array" ref="Z14">SUMPRODUCT(Calculation!DQ$11:DQ$65*(Calculation!$FK$11:$FK$65=$B14)*IF($B$5=0,1,0))</f>
        <v>0</v>
      </c>
      <c r="AA14" s="863" cm="1">
        <f t="array" ref="AA14">SUMPRODUCT(Calculation!DR$11:DR$65*(Calculation!$FK$11:$FK$65=$B14)*IF($B$5=0,1,0))</f>
        <v>0</v>
      </c>
      <c r="AB14" s="863" cm="1">
        <f t="array" ref="AB14">SUMPRODUCT(Calculation!DS$11:DS$65*(Calculation!$FK$11:$FK$65=$B14)*IF($B$5=0,1,0))</f>
        <v>0</v>
      </c>
      <c r="AC14" s="863" cm="1">
        <f t="array" ref="AC14">SUMPRODUCT(Calculation!DT$11:DT$65*(Calculation!$FK$11:$FK$65=$B14)*IF($B$5=0,1,0))</f>
        <v>0</v>
      </c>
      <c r="AD14" s="863" cm="1">
        <f t="array" ref="AD14">SUMPRODUCT(Calculation!DU$11:DU$65*(Calculation!$FK$11:$FK$65=$B14)*IF($B$5=0,1,0))</f>
        <v>0</v>
      </c>
      <c r="AE14" s="879">
        <f>IF(SUM($Z14:$AD14)=0,0,SUM($Y14:$AD14))</f>
        <v>0</v>
      </c>
      <c r="AF14" s="863" cm="1">
        <f t="array" ref="AF14">SUMPRODUCT(Calculation!DW$11:DW$65*(Calculation!$FK$11:$FK$65=$B14)*IF($B$5=0,1,0))</f>
        <v>0</v>
      </c>
      <c r="AG14" s="863" cm="1">
        <f t="array" ref="AG14">SUMPRODUCT(Calculation!DX$11:DX$65*(Calculation!$FK$11:$FK$65=$B14)*IF($B$5=0,1,0))</f>
        <v>0</v>
      </c>
      <c r="AH14" s="863" cm="1">
        <f t="array" ref="AH14">SUMPRODUCT(Calculation!DY$11:DY$65*(Calculation!$FK$11:$FK$65=$B14)*IF($B$5=0,1,0))</f>
        <v>0</v>
      </c>
      <c r="AI14" s="863" cm="1">
        <f t="array" ref="AI14">SUMPRODUCT(Calculation!DZ$11:DZ$65*(Calculation!$FK$11:$FK$65=$B14)*IF($B$5=0,1,0))</f>
        <v>0</v>
      </c>
      <c r="AJ14" s="863" cm="1">
        <f t="array" ref="AJ14">SUMPRODUCT(Calculation!EA$11:EA$65*(Calculation!$FK$11:$FK$65=$B14)*IF($B$5=0,1,0))</f>
        <v>0</v>
      </c>
      <c r="AK14" s="879">
        <f>IF(SUM(Cluster2[[Auss.7]:[Sonstige11]])=0,0,SUM($Y14:$AD14,$AF14:$AJ14))</f>
        <v>0</v>
      </c>
      <c r="AL14" s="278">
        <f>IF($B$5=0,$AK14,$Y14)</f>
        <v>0</v>
      </c>
    </row>
    <row r="15" spans="1:38">
      <c r="B15" s="944" t="s">
        <v>1253</v>
      </c>
      <c r="C15" s="863" cm="1">
        <f t="array" ref="C15">SUMPRODUCT(Calculation!CV$11:CV$65*(Calculation!$FK$11:$FK$65=$B15)*IF($B$5=0,1,Calculation!$CA$11:$CA$65=$B$5))</f>
        <v>0</v>
      </c>
      <c r="D15" s="863" cm="1">
        <f t="array" ref="D15">SUMPRODUCT(Calculation!CW$11:CW$65*(Calculation!$FK$11:$FK$65=$B15)*IF($B$5=0,1,Calculation!$CA$11:$CA$65=$B$5))</f>
        <v>0</v>
      </c>
      <c r="E15" s="863" cm="1">
        <f t="array" ref="E15">SUMPRODUCT(Calculation!CX$11:CX$65*(Calculation!$FK$11:$FK$65=$B15)*IF($B$5=0,1,Calculation!$CA$11:$CA$65=$B$5))</f>
        <v>0</v>
      </c>
      <c r="F15" s="863" cm="1">
        <f t="array" ref="F15">SUMPRODUCT(Calculation!CY$11:CY$65*(Calculation!$FK$11:$FK$65=$B15)*IF($B$5=0,1,Calculation!$CA$11:$CA$65=$B$5))</f>
        <v>0</v>
      </c>
      <c r="G15" s="863" cm="1">
        <f t="array" ref="G15">SUMPRODUCT(Calculation!CZ$11:CZ$65*(Calculation!$FK$11:$FK$65=$B15)*IF($B$5=0,1,Calculation!$CA$11:$CA$65=$B$5))</f>
        <v>0</v>
      </c>
      <c r="H15" s="863" cm="1">
        <f t="array" ref="H15">SUMPRODUCT(Calculation!DA$11:DA$65*(Calculation!$FK$11:$FK$65=$B15)*IF($B$5=0,1,Calculation!$CA$11:$CA$65=$B$5))</f>
        <v>0</v>
      </c>
      <c r="I15" s="863" cm="1">
        <f t="array" ref="I15">SUMPRODUCT(Calculation!DB$11:DB$65*(Calculation!$FK$11:$FK$65=$B15)*IF($B$5=0,1,Calculation!$CA$11:$CA$65=$B$5))</f>
        <v>0</v>
      </c>
      <c r="J15" s="876">
        <f>SUM($C15:$I15)</f>
        <v>0</v>
      </c>
      <c r="K15" s="877" cm="1">
        <f t="array" ref="K15">SUMPRODUCT(Calculation!DD$11:DD$65*(Calculation!$FK$11:$FK$65=$B15)*IF($B$5=0,1,Calculation!$CA$11:$CA$65=$B$5))</f>
        <v>0</v>
      </c>
      <c r="L15" s="877" cm="1">
        <f t="array" ref="L15">SUMPRODUCT(Calculation!DP$11:DP$65*(Calculation!$FK$11:$FK$65=$B15)*IF($B$5=0,0,Calculation!$CB$11:$CB$65=$B$5))
+SUMPRODUCT(Calculation!DP$11:DU$65*(Calculation!$FK$11:$FK$65=$B15)*IF($B$5=0,0,Calculation!$CC$11:$CC$65=$B$5))</f>
        <v>0</v>
      </c>
      <c r="M15" s="863">
        <f>SUM($K15:$L15)</f>
        <v>0</v>
      </c>
      <c r="N15" s="863" cm="1">
        <f t="array" ref="N15">SUMPRODUCT(Calculation!DE$11:DE$65*(Calculation!$FK$11:$FK$65=$B15)*IF($B$5=0,1,Calculation!$CA$11:$CA$65=$B$5))
+SUMPRODUCT(Calculation!DQ$11:DQ$65*(Calculation!$FK$11:$FK$65=$B15)*IF($B$5=0,0,Calculation!$CB$11:$CB$65=$B$5))
+SUMPRODUCT(Calculation!DW$11:DW$65*(Calculation!$FK$11:$FK$65=$B15)*IF($B$5=0,0,Calculation!$CC$11:$CC$65=$B$5))</f>
        <v>0</v>
      </c>
      <c r="O15" s="863" cm="1">
        <f t="array" ref="O15">SUMPRODUCT(Calculation!DF$11:DF$65*(Calculation!$FK$11:$FK$65=$B15)*IF($B$5=0,1,Calculation!$CA$11:$CA$65=$B$5))
+SUMPRODUCT(Calculation!DR$11:DR$65*(Calculation!$FK$11:$FK$65=$B15)*IF($B$5=0,0,Calculation!$CB$11:$CB$65=$B$5))
+SUMPRODUCT(Calculation!DX$11:DX$65*(Calculation!$FK$11:$FK$65=$B15)*IF($B$5=0,0,Calculation!$CC$11:$CC$65=$B$5))</f>
        <v>0</v>
      </c>
      <c r="P15" s="876">
        <f>SUM($M15:$O15)</f>
        <v>0</v>
      </c>
      <c r="Q15" s="878">
        <f>$J15+$P15</f>
        <v>0</v>
      </c>
      <c r="R15" s="863" cm="1">
        <f t="array" ref="R15">SUMPRODUCT(Calculation!DI$11:DI$65*(Calculation!$FK$11:$FK$65=$B15)*IF($B$5=0,1,Calculation!$CA$11:$CA$65=$B$5))</f>
        <v>0</v>
      </c>
      <c r="S15" s="863" cm="1">
        <f t="array" ref="S15">SUMPRODUCT(Calculation!DJ$11:DJ$65*(Calculation!$FK$11:$FK$65=$B15)*IF($B$5=0,1,Calculation!$CA$11:$CA$65=$B$5))
+(SUMPRODUCT(Calculation!DS$11:DS$65*(Calculation!$FK$11:$FK$65=$B15)*IF($B$5=0,0,Calculation!$CB$11:$CB$65=$B$5))
+SUMPRODUCT(Calculation!DY$11:DY$65*(Calculation!$FK$11:$FK$65=$B15)*IF($B$5=0,0,Calculation!$CC$11:$CC$65=$B$5)))*IF(INDEX(Settings[],MATCH(3001,Settings[ID],0),2)="B",1,0)</f>
        <v>0</v>
      </c>
      <c r="T15" s="863" cm="1">
        <f t="array" ref="T15">SUMPRODUCT(Calculation!DK$11:DK$65*(Calculation!$FK$11:$FK$65=$B15)*IF($B$5=0,1,Calculation!$CA$11:$CA$65=$B$5))
+(SUMPRODUCT(Calculation!DS$11:DS$65*(Calculation!$FK$11:$FK$65=$B15)*IF($B$5=0,0,Calculation!$CB$11:$CB$65=$B$5))
+SUMPRODUCT(Calculation!DY$11:DY$65*(Calculation!$FK$11:$FK$65=$B15)*IF($B$5=0,0,Calculation!$CC$11:$CC$65=$B$5)))*IF(INDEX(Settings[],MATCH(3001,Settings[ID],0),2)="B",0,1)</f>
        <v>0</v>
      </c>
      <c r="U15" s="863" cm="1">
        <f t="array" ref="U15">SUMPRODUCT(Calculation!DL$11:DL$65*(Calculation!$FK$11:$FK$65=$B15)*IF($B$5=0,1,Calculation!$CA$11:$CA$65=$B$5))</f>
        <v>0</v>
      </c>
      <c r="V15" s="863" cm="1">
        <f t="array" ref="V15">SUMPRODUCT(Calculation!DM$11:DM$65*(Calculation!$FK$11:$FK$65=$B15)*IF($B$5=0,1,Calculation!$CA$11:$CA$65=$B$5))
+(SUMPRODUCT(Calculation!DT$11:DT$65*(Calculation!$FK$11:$FK$65=$B15)*IF($B$5=0,0,Calculation!$CB$11:$CB$65=$B$5))
+SUMPRODUCT(Calculation!DZ$11:DZ$65*(Calculation!$FK$11:$FK$65=$B15)*IF($B$5=0,0,Calculation!$CC$11:$CC$65=$B$5)))*IF(INDEX(Settings[],MATCH(3002,Settings[ID],0),2)="B",1,0)</f>
        <v>0</v>
      </c>
      <c r="W15" s="863" cm="1">
        <f t="array" ref="W15">SUMPRODUCT(Calculation!DN$11:DN$65*(Calculation!$FK$11:$FK$65=$B15)*IF($B$5=0,1,Calculation!$CA$11:$CA$65=$B$5))
+(SUMPRODUCT(Calculation!DT$11:DT$65*(Calculation!$FK$11:$FK$65=$B15)*IF($B$5=0,0,Calculation!$CB$11:$CB$65=$B$5))
+SUMPRODUCT(Calculation!DZ$11:DZ$65*(Calculation!$FK$11:$FK$65=$B15)*IF($B$5=0,0,Calculation!$CC$11:$CC$65=$B$5)))*IF(INDEX(Settings[],MATCH(3002,Settings[ID],0),2)="B",0,1)</f>
        <v>0</v>
      </c>
      <c r="X15" s="863" cm="1">
        <f t="array" ref="X15">SUMPRODUCT(Calculation!DO$11:DO$65*(Calculation!$FK$11:$FK$65=$B15)*IF($B$5=0,1,Calculation!$CA$11:$CA$65=$B$5))
+SUMPRODUCT(Calculation!DU$11:DU$65*(Calculation!$FK$11:$FK$65=$B15)*IF($B$5=0,0,Calculation!$CB$11:$CB$65=$B$5))
+SUMPRODUCT(Calculation!EA$11:EA$65*(Calculation!$FK$11:$FK$65=$B15)*IF($B$5=0,0,Calculation!$CC$11:$CC$65=$B$5))</f>
        <v>0</v>
      </c>
      <c r="Y15" s="879">
        <f>SUM($Q15:$X15)</f>
        <v>0</v>
      </c>
      <c r="Z15" s="863" cm="1">
        <f t="array" ref="Z15">SUMPRODUCT(Calculation!DQ$11:DQ$65*(Calculation!$FK$11:$FK$65=$B15)*IF($B$5=0,1,0))</f>
        <v>0</v>
      </c>
      <c r="AA15" s="863" cm="1">
        <f t="array" ref="AA15">SUMPRODUCT(Calculation!DR$11:DR$65*(Calculation!$FK$11:$FK$65=$B15)*IF($B$5=0,1,0))</f>
        <v>0</v>
      </c>
      <c r="AB15" s="863" cm="1">
        <f t="array" ref="AB15">SUMPRODUCT(Calculation!DS$11:DS$65*(Calculation!$FK$11:$FK$65=$B15)*IF($B$5=0,1,0))</f>
        <v>0</v>
      </c>
      <c r="AC15" s="863" cm="1">
        <f t="array" ref="AC15">SUMPRODUCT(Calculation!DT$11:DT$65*(Calculation!$FK$11:$FK$65=$B15)*IF($B$5=0,1,0))</f>
        <v>0</v>
      </c>
      <c r="AD15" s="863" cm="1">
        <f t="array" ref="AD15">SUMPRODUCT(Calculation!DU$11:DU$65*(Calculation!$FK$11:$FK$65=$B15)*IF($B$5=0,1,0))</f>
        <v>0</v>
      </c>
      <c r="AE15" s="879">
        <f>IF(SUM($Z15:$AD15)=0,0,SUM($Y15:$AD15))</f>
        <v>0</v>
      </c>
      <c r="AF15" s="863" cm="1">
        <f t="array" ref="AF15">SUMPRODUCT(Calculation!DW$11:DW$65*(Calculation!$FK$11:$FK$65=$B15)*IF($B$5=0,1,0))</f>
        <v>0</v>
      </c>
      <c r="AG15" s="863" cm="1">
        <f t="array" ref="AG15">SUMPRODUCT(Calculation!DX$11:DX$65*(Calculation!$FK$11:$FK$65=$B15)*IF($B$5=0,1,0))</f>
        <v>0</v>
      </c>
      <c r="AH15" s="863" cm="1">
        <f t="array" ref="AH15">SUMPRODUCT(Calculation!DY$11:DY$65*(Calculation!$FK$11:$FK$65=$B15)*IF($B$5=0,1,0))</f>
        <v>0</v>
      </c>
      <c r="AI15" s="863" cm="1">
        <f t="array" ref="AI15">SUMPRODUCT(Calculation!DZ$11:DZ$65*(Calculation!$FK$11:$FK$65=$B15)*IF($B$5=0,1,0))</f>
        <v>0</v>
      </c>
      <c r="AJ15" s="863" cm="1">
        <f t="array" ref="AJ15">SUMPRODUCT(Calculation!EA$11:EA$65*(Calculation!$FK$11:$FK$65=$B15)*IF($B$5=0,1,0))</f>
        <v>0</v>
      </c>
      <c r="AK15" s="879">
        <f>IF(SUM(Cluster2[[Auss.7]:[Sonstige11]])=0,0,SUM($Y15:$AD15,$AF15:$AJ15))</f>
        <v>0</v>
      </c>
      <c r="AL15" s="278">
        <f>IF($B$5=0,$AK15,$Y15)</f>
        <v>0</v>
      </c>
    </row>
    <row r="16" spans="1:38">
      <c r="B16" s="944" t="s">
        <v>961</v>
      </c>
      <c r="C16" s="863" cm="1">
        <f t="array" ref="C16">SUMPRODUCT(Calculation!CV$11:CV$65*(Calculation!$FK$11:$FK$65=$B16)*IF($B$5=0,1,Calculation!$CA$11:$CA$65=$B$5))</f>
        <v>0</v>
      </c>
      <c r="D16" s="863" cm="1">
        <f t="array" ref="D16">SUMPRODUCT(Calculation!CW$11:CW$65*(Calculation!$FK$11:$FK$65=$B16)*IF($B$5=0,1,Calculation!$CA$11:$CA$65=$B$5))</f>
        <v>0</v>
      </c>
      <c r="E16" s="863" cm="1">
        <f t="array" ref="E16">SUMPRODUCT(Calculation!CX$11:CX$65*(Calculation!$FK$11:$FK$65=$B16)*IF($B$5=0,1,Calculation!$CA$11:$CA$65=$B$5))</f>
        <v>0</v>
      </c>
      <c r="F16" s="863" cm="1">
        <f t="array" ref="F16">SUMPRODUCT(Calculation!CY$11:CY$65*(Calculation!$FK$11:$FK$65=$B16)*IF($B$5=0,1,Calculation!$CA$11:$CA$65=$B$5))</f>
        <v>0</v>
      </c>
      <c r="G16" s="863" cm="1">
        <f t="array" ref="G16">SUMPRODUCT(Calculation!CZ$11:CZ$65*(Calculation!$FK$11:$FK$65=$B16)*IF($B$5=0,1,Calculation!$CA$11:$CA$65=$B$5))</f>
        <v>0</v>
      </c>
      <c r="H16" s="863" cm="1">
        <f t="array" ref="H16">SUMPRODUCT(Calculation!DA$11:DA$65*(Calculation!$FK$11:$FK$65=$B16)*IF($B$5=0,1,Calculation!$CA$11:$CA$65=$B$5))</f>
        <v>0</v>
      </c>
      <c r="I16" s="863" cm="1">
        <f t="array" ref="I16">SUMPRODUCT(Calculation!DB$11:DB$65*(Calculation!$FK$11:$FK$65=$B16)*IF($B$5=0,1,Calculation!$CA$11:$CA$65=$B$5))</f>
        <v>0</v>
      </c>
      <c r="J16" s="876">
        <f>SUM($C16:$I16)</f>
        <v>0</v>
      </c>
      <c r="K16" s="877" cm="1">
        <f t="array" ref="K16">SUMPRODUCT(Calculation!DD$11:DD$65*(Calculation!$FK$11:$FK$65=$B16)*IF($B$5=0,1,Calculation!$CA$11:$CA$65=$B$5))</f>
        <v>0</v>
      </c>
      <c r="L16" s="877" cm="1">
        <f t="array" ref="L16">SUMPRODUCT(Calculation!DP$11:DP$65*(Calculation!$FK$11:$FK$65=$B16)*IF($B$5=0,0,Calculation!$CB$11:$CB$65=$B$5))
+SUMPRODUCT(Calculation!DP$11:DU$65*(Calculation!$FK$11:$FK$65=$B16)*IF($B$5=0,0,Calculation!$CC$11:$CC$65=$B$5))</f>
        <v>0</v>
      </c>
      <c r="M16" s="863">
        <f>SUM($K16:$L16)</f>
        <v>0</v>
      </c>
      <c r="N16" s="863" cm="1">
        <f t="array" ref="N16">SUMPRODUCT(Calculation!DE$11:DE$65*(Calculation!$FK$11:$FK$65=$B16)*IF($B$5=0,1,Calculation!$CA$11:$CA$65=$B$5))
+SUMPRODUCT(Calculation!DQ$11:DQ$65*(Calculation!$FK$11:$FK$65=$B16)*IF($B$5=0,0,Calculation!$CB$11:$CB$65=$B$5))
+SUMPRODUCT(Calculation!DW$11:DW$65*(Calculation!$FK$11:$FK$65=$B16)*IF($B$5=0,0,Calculation!$CC$11:$CC$65=$B$5))</f>
        <v>0</v>
      </c>
      <c r="O16" s="863" cm="1">
        <f t="array" ref="O16">SUMPRODUCT(Calculation!DF$11:DF$65*(Calculation!$FK$11:$FK$65=$B16)*IF($B$5=0,1,Calculation!$CA$11:$CA$65=$B$5))
+SUMPRODUCT(Calculation!DR$11:DR$65*(Calculation!$FK$11:$FK$65=$B16)*IF($B$5=0,0,Calculation!$CB$11:$CB$65=$B$5))
+SUMPRODUCT(Calculation!DX$11:DX$65*(Calculation!$FK$11:$FK$65=$B16)*IF($B$5=0,0,Calculation!$CC$11:$CC$65=$B$5))</f>
        <v>0</v>
      </c>
      <c r="P16" s="876">
        <f>SUM($M16:$O16)</f>
        <v>0</v>
      </c>
      <c r="Q16" s="878">
        <f>$J16+$P16</f>
        <v>0</v>
      </c>
      <c r="R16" s="863" cm="1">
        <f t="array" ref="R16">SUMPRODUCT(Calculation!DI$11:DI$65*(Calculation!$FK$11:$FK$65=$B16)*IF($B$5=0,1,Calculation!$CA$11:$CA$65=$B$5))</f>
        <v>0</v>
      </c>
      <c r="S16" s="863" cm="1">
        <f t="array" ref="S16">SUMPRODUCT(Calculation!DJ$11:DJ$65*(Calculation!$FK$11:$FK$65=$B16)*IF($B$5=0,1,Calculation!$CA$11:$CA$65=$B$5))
+(SUMPRODUCT(Calculation!DS$11:DS$65*(Calculation!$FK$11:$FK$65=$B16)*IF($B$5=0,0,Calculation!$CB$11:$CB$65=$B$5))
+SUMPRODUCT(Calculation!DY$11:DY$65*(Calculation!$FK$11:$FK$65=$B16)*IF($B$5=0,0,Calculation!$CC$11:$CC$65=$B$5)))*IF(INDEX(Settings[],MATCH(3001,Settings[ID],0),2)="B",1,0)</f>
        <v>0</v>
      </c>
      <c r="T16" s="863" cm="1">
        <f t="array" ref="T16">SUMPRODUCT(Calculation!DK$11:DK$65*(Calculation!$FK$11:$FK$65=$B16)*IF($B$5=0,1,Calculation!$CA$11:$CA$65=$B$5))
+(SUMPRODUCT(Calculation!DS$11:DS$65*(Calculation!$FK$11:$FK$65=$B16)*IF($B$5=0,0,Calculation!$CB$11:$CB$65=$B$5))
+SUMPRODUCT(Calculation!DY$11:DY$65*(Calculation!$FK$11:$FK$65=$B16)*IF($B$5=0,0,Calculation!$CC$11:$CC$65=$B$5)))*IF(INDEX(Settings[],MATCH(3001,Settings[ID],0),2)="B",0,1)</f>
        <v>0</v>
      </c>
      <c r="U16" s="863" cm="1">
        <f t="array" ref="U16">SUMPRODUCT(Calculation!DL$11:DL$65*(Calculation!$FK$11:$FK$65=$B16)*IF($B$5=0,1,Calculation!$CA$11:$CA$65=$B$5))</f>
        <v>0</v>
      </c>
      <c r="V16" s="863" cm="1">
        <f t="array" ref="V16">SUMPRODUCT(Calculation!DM$11:DM$65*(Calculation!$FK$11:$FK$65=$B16)*IF($B$5=0,1,Calculation!$CA$11:$CA$65=$B$5))
+(SUMPRODUCT(Calculation!DT$11:DT$65*(Calculation!$FK$11:$FK$65=$B16)*IF($B$5=0,0,Calculation!$CB$11:$CB$65=$B$5))
+SUMPRODUCT(Calculation!DZ$11:DZ$65*(Calculation!$FK$11:$FK$65=$B16)*IF($B$5=0,0,Calculation!$CC$11:$CC$65=$B$5)))*IF(INDEX(Settings[],MATCH(3002,Settings[ID],0),2)="B",1,0)</f>
        <v>0</v>
      </c>
      <c r="W16" s="863" cm="1">
        <f t="array" ref="W16">SUMPRODUCT(Calculation!DN$11:DN$65*(Calculation!$FK$11:$FK$65=$B16)*IF($B$5=0,1,Calculation!$CA$11:$CA$65=$B$5))
+(SUMPRODUCT(Calculation!DT$11:DT$65*(Calculation!$FK$11:$FK$65=$B16)*IF($B$5=0,0,Calculation!$CB$11:$CB$65=$B$5))
+SUMPRODUCT(Calculation!DZ$11:DZ$65*(Calculation!$FK$11:$FK$65=$B16)*IF($B$5=0,0,Calculation!$CC$11:$CC$65=$B$5)))*IF(INDEX(Settings[],MATCH(3002,Settings[ID],0),2)="B",0,1)</f>
        <v>0</v>
      </c>
      <c r="X16" s="863" cm="1">
        <f t="array" ref="X16">SUMPRODUCT(Calculation!DO$11:DO$65*(Calculation!$FK$11:$FK$65=$B16)*IF($B$5=0,1,Calculation!$CA$11:$CA$65=$B$5))
+SUMPRODUCT(Calculation!DU$11:DU$65*(Calculation!$FK$11:$FK$65=$B16)*IF($B$5=0,0,Calculation!$CB$11:$CB$65=$B$5))
+SUMPRODUCT(Calculation!EA$11:EA$65*(Calculation!$FK$11:$FK$65=$B16)*IF($B$5=0,0,Calculation!$CC$11:$CC$65=$B$5))</f>
        <v>0</v>
      </c>
      <c r="Y16" s="879">
        <f>SUM($Q16:$X16)</f>
        <v>0</v>
      </c>
      <c r="Z16" s="863" cm="1">
        <f t="array" ref="Z16">SUMPRODUCT(Calculation!DQ$11:DQ$65*(Calculation!$FK$11:$FK$65=$B16)*IF($B$5=0,1,0))</f>
        <v>0</v>
      </c>
      <c r="AA16" s="863" cm="1">
        <f t="array" ref="AA16">SUMPRODUCT(Calculation!DR$11:DR$65*(Calculation!$FK$11:$FK$65=$B16)*IF($B$5=0,1,0))</f>
        <v>0</v>
      </c>
      <c r="AB16" s="863" cm="1">
        <f t="array" ref="AB16">SUMPRODUCT(Calculation!DS$11:DS$65*(Calculation!$FK$11:$FK$65=$B16)*IF($B$5=0,1,0))</f>
        <v>0</v>
      </c>
      <c r="AC16" s="863" cm="1">
        <f t="array" ref="AC16">SUMPRODUCT(Calculation!DT$11:DT$65*(Calculation!$FK$11:$FK$65=$B16)*IF($B$5=0,1,0))</f>
        <v>0</v>
      </c>
      <c r="AD16" s="863" cm="1">
        <f t="array" ref="AD16">SUMPRODUCT(Calculation!DU$11:DU$65*(Calculation!$FK$11:$FK$65=$B16)*IF($B$5=0,1,0))</f>
        <v>0</v>
      </c>
      <c r="AE16" s="879">
        <f>IF(SUM($Z16:$AD16)=0,0,SUM($Y16:$AD16))</f>
        <v>0</v>
      </c>
      <c r="AF16" s="863" cm="1">
        <f t="array" ref="AF16">SUMPRODUCT(Calculation!DW$11:DW$65*(Calculation!$FK$11:$FK$65=$B16)*IF($B$5=0,1,0))</f>
        <v>0</v>
      </c>
      <c r="AG16" s="863" cm="1">
        <f t="array" ref="AG16">SUMPRODUCT(Calculation!DX$11:DX$65*(Calculation!$FK$11:$FK$65=$B16)*IF($B$5=0,1,0))</f>
        <v>0</v>
      </c>
      <c r="AH16" s="863" cm="1">
        <f t="array" ref="AH16">SUMPRODUCT(Calculation!DY$11:DY$65*(Calculation!$FK$11:$FK$65=$B16)*IF($B$5=0,1,0))</f>
        <v>0</v>
      </c>
      <c r="AI16" s="863" cm="1">
        <f t="array" ref="AI16">SUMPRODUCT(Calculation!DZ$11:DZ$65*(Calculation!$FK$11:$FK$65=$B16)*IF($B$5=0,1,0))</f>
        <v>0</v>
      </c>
      <c r="AJ16" s="863" cm="1">
        <f t="array" ref="AJ16">SUMPRODUCT(Calculation!EA$11:EA$65*(Calculation!$FK$11:$FK$65=$B16)*IF($B$5=0,1,0))</f>
        <v>0</v>
      </c>
      <c r="AK16" s="879">
        <f>IF(SUM(Cluster2[[Auss.7]:[Sonstige11]])=0,0,SUM($Y16:$AD16,$AF16:$AJ16))</f>
        <v>0</v>
      </c>
      <c r="AL16" s="278">
        <f>IF($B$5=0,$AK16,$Y16)</f>
        <v>0</v>
      </c>
    </row>
    <row r="17" spans="2:38">
      <c r="B17" s="944" t="s">
        <v>667</v>
      </c>
      <c r="C17" s="863" cm="1">
        <f t="array" ref="C17">SUMPRODUCT(Calculation!CV$11:CV$65*(Calculation!$FK$11:$FK$65=$B17)*IF($B$5=0,1,Calculation!$CA$11:$CA$65=$B$5))</f>
        <v>0</v>
      </c>
      <c r="D17" s="863" cm="1">
        <f t="array" ref="D17">SUMPRODUCT(Calculation!CW$11:CW$65*(Calculation!$FK$11:$FK$65=$B17)*IF($B$5=0,1,Calculation!$CA$11:$CA$65=$B$5))</f>
        <v>0</v>
      </c>
      <c r="E17" s="863" cm="1">
        <f t="array" ref="E17">SUMPRODUCT(Calculation!CX$11:CX$65*(Calculation!$FK$11:$FK$65=$B17)*IF($B$5=0,1,Calculation!$CA$11:$CA$65=$B$5))</f>
        <v>0</v>
      </c>
      <c r="F17" s="863" cm="1">
        <f t="array" ref="F17">SUMPRODUCT(Calculation!CY$11:CY$65*(Calculation!$FK$11:$FK$65=$B17)*IF($B$5=0,1,Calculation!$CA$11:$CA$65=$B$5))</f>
        <v>0</v>
      </c>
      <c r="G17" s="863" cm="1">
        <f t="array" ref="G17">SUMPRODUCT(Calculation!CZ$11:CZ$65*(Calculation!$FK$11:$FK$65=$B17)*IF($B$5=0,1,Calculation!$CA$11:$CA$65=$B$5))</f>
        <v>0</v>
      </c>
      <c r="H17" s="863" cm="1">
        <f t="array" ref="H17">SUMPRODUCT(Calculation!DA$11:DA$65*(Calculation!$FK$11:$FK$65=$B17)*IF($B$5=0,1,Calculation!$CA$11:$CA$65=$B$5))</f>
        <v>0</v>
      </c>
      <c r="I17" s="863" cm="1">
        <f t="array" ref="I17">SUMPRODUCT(Calculation!DB$11:DB$65*(Calculation!$FK$11:$FK$65=$B17)*IF($B$5=0,1,Calculation!$CA$11:$CA$65=$B$5))</f>
        <v>0</v>
      </c>
      <c r="J17" s="876">
        <f>SUM($C17:$I17)</f>
        <v>0</v>
      </c>
      <c r="K17" s="877" cm="1">
        <f t="array" ref="K17">SUMPRODUCT(Calculation!DD$11:DD$65*(Calculation!$FK$11:$FK$65=$B17)*IF($B$5=0,1,Calculation!$CA$11:$CA$65=$B$5))</f>
        <v>0</v>
      </c>
      <c r="L17" s="877" cm="1">
        <f t="array" ref="L17">SUMPRODUCT(Calculation!DP$11:DP$65*(Calculation!$FK$11:$FK$65=$B17)*IF($B$5=0,0,Calculation!$CB$11:$CB$65=$B$5))
+SUMPRODUCT(Calculation!DP$11:DU$65*(Calculation!$FK$11:$FK$65=$B17)*IF($B$5=0,0,Calculation!$CC$11:$CC$65=$B$5))</f>
        <v>0</v>
      </c>
      <c r="M17" s="863">
        <f>SUM($K17:$L17)</f>
        <v>0</v>
      </c>
      <c r="N17" s="863" cm="1">
        <f t="array" ref="N17">SUMPRODUCT(Calculation!DE$11:DE$65*(Calculation!$FK$11:$FK$65=$B17)*IF($B$5=0,1,Calculation!$CA$11:$CA$65=$B$5))
+SUMPRODUCT(Calculation!DQ$11:DQ$65*(Calculation!$FK$11:$FK$65=$B17)*IF($B$5=0,0,Calculation!$CB$11:$CB$65=$B$5))
+SUMPRODUCT(Calculation!DW$11:DW$65*(Calculation!$FK$11:$FK$65=$B17)*IF($B$5=0,0,Calculation!$CC$11:$CC$65=$B$5))</f>
        <v>0</v>
      </c>
      <c r="O17" s="863" cm="1">
        <f t="array" ref="O17">SUMPRODUCT(Calculation!DF$11:DF$65*(Calculation!$FK$11:$FK$65=$B17)*IF($B$5=0,1,Calculation!$CA$11:$CA$65=$B$5))
+SUMPRODUCT(Calculation!DR$11:DR$65*(Calculation!$FK$11:$FK$65=$B17)*IF($B$5=0,0,Calculation!$CB$11:$CB$65=$B$5))
+SUMPRODUCT(Calculation!DX$11:DX$65*(Calculation!$FK$11:$FK$65=$B17)*IF($B$5=0,0,Calculation!$CC$11:$CC$65=$B$5))</f>
        <v>0</v>
      </c>
      <c r="P17" s="876">
        <f>SUM($M17:$O17)</f>
        <v>0</v>
      </c>
      <c r="Q17" s="878">
        <f>$J17+$P17</f>
        <v>0</v>
      </c>
      <c r="R17" s="863" cm="1">
        <f t="array" ref="R17">SUMPRODUCT(Calculation!DI$11:DI$65*(Calculation!$FK$11:$FK$65=$B17)*IF($B$5=0,1,Calculation!$CA$11:$CA$65=$B$5))</f>
        <v>0</v>
      </c>
      <c r="S17" s="863" cm="1">
        <f t="array" ref="S17">SUMPRODUCT(Calculation!DJ$11:DJ$65*(Calculation!$FK$11:$FK$65=$B17)*IF($B$5=0,1,Calculation!$CA$11:$CA$65=$B$5))
+(SUMPRODUCT(Calculation!DS$11:DS$65*(Calculation!$FK$11:$FK$65=$B17)*IF($B$5=0,0,Calculation!$CB$11:$CB$65=$B$5))
+SUMPRODUCT(Calculation!DY$11:DY$65*(Calculation!$FK$11:$FK$65=$B17)*IF($B$5=0,0,Calculation!$CC$11:$CC$65=$B$5)))*IF(INDEX(Settings[],MATCH(3001,Settings[ID],0),2)="B",1,0)</f>
        <v>0</v>
      </c>
      <c r="T17" s="863" cm="1">
        <f t="array" ref="T17">SUMPRODUCT(Calculation!DK$11:DK$65*(Calculation!$FK$11:$FK$65=$B17)*IF($B$5=0,1,Calculation!$CA$11:$CA$65=$B$5))
+(SUMPRODUCT(Calculation!DS$11:DS$65*(Calculation!$FK$11:$FK$65=$B17)*IF($B$5=0,0,Calculation!$CB$11:$CB$65=$B$5))
+SUMPRODUCT(Calculation!DY$11:DY$65*(Calculation!$FK$11:$FK$65=$B17)*IF($B$5=0,0,Calculation!$CC$11:$CC$65=$B$5)))*IF(INDEX(Settings[],MATCH(3001,Settings[ID],0),2)="B",0,1)</f>
        <v>0</v>
      </c>
      <c r="U17" s="863" cm="1">
        <f t="array" ref="U17">SUMPRODUCT(Calculation!DL$11:DL$65*(Calculation!$FK$11:$FK$65=$B17)*IF($B$5=0,1,Calculation!$CA$11:$CA$65=$B$5))</f>
        <v>0</v>
      </c>
      <c r="V17" s="863" cm="1">
        <f t="array" ref="V17">SUMPRODUCT(Calculation!DM$11:DM$65*(Calculation!$FK$11:$FK$65=$B17)*IF($B$5=0,1,Calculation!$CA$11:$CA$65=$B$5))
+(SUMPRODUCT(Calculation!DT$11:DT$65*(Calculation!$FK$11:$FK$65=$B17)*IF($B$5=0,0,Calculation!$CB$11:$CB$65=$B$5))
+SUMPRODUCT(Calculation!DZ$11:DZ$65*(Calculation!$FK$11:$FK$65=$B17)*IF($B$5=0,0,Calculation!$CC$11:$CC$65=$B$5)))*IF(INDEX(Settings[],MATCH(3002,Settings[ID],0),2)="B",1,0)</f>
        <v>0</v>
      </c>
      <c r="W17" s="863" cm="1">
        <f t="array" ref="W17">SUMPRODUCT(Calculation!DN$11:DN$65*(Calculation!$FK$11:$FK$65=$B17)*IF($B$5=0,1,Calculation!$CA$11:$CA$65=$B$5))
+(SUMPRODUCT(Calculation!DT$11:DT$65*(Calculation!$FK$11:$FK$65=$B17)*IF($B$5=0,0,Calculation!$CB$11:$CB$65=$B$5))
+SUMPRODUCT(Calculation!DZ$11:DZ$65*(Calculation!$FK$11:$FK$65=$B17)*IF($B$5=0,0,Calculation!$CC$11:$CC$65=$B$5)))*IF(INDEX(Settings[],MATCH(3002,Settings[ID],0),2)="B",0,1)</f>
        <v>0</v>
      </c>
      <c r="X17" s="863" cm="1">
        <f t="array" ref="X17">SUMPRODUCT(Calculation!DO$11:DO$65*(Calculation!$FK$11:$FK$65=$B17)*IF($B$5=0,1,Calculation!$CA$11:$CA$65=$B$5))
+SUMPRODUCT(Calculation!DU$11:DU$65*(Calculation!$FK$11:$FK$65=$B17)*IF($B$5=0,0,Calculation!$CB$11:$CB$65=$B$5))
+SUMPRODUCT(Calculation!EA$11:EA$65*(Calculation!$FK$11:$FK$65=$B17)*IF($B$5=0,0,Calculation!$CC$11:$CC$65=$B$5))</f>
        <v>0</v>
      </c>
      <c r="Y17" s="879">
        <f>SUM($Q17:$X17)</f>
        <v>0</v>
      </c>
      <c r="Z17" s="863" cm="1">
        <f t="array" ref="Z17">SUMPRODUCT(Calculation!DQ$11:DQ$65*(Calculation!$FK$11:$FK$65=$B17)*IF($B$5=0,1,0))</f>
        <v>0</v>
      </c>
      <c r="AA17" s="863" cm="1">
        <f t="array" ref="AA17">SUMPRODUCT(Calculation!DR$11:DR$65*(Calculation!$FK$11:$FK$65=$B17)*IF($B$5=0,1,0))</f>
        <v>0</v>
      </c>
      <c r="AB17" s="863" cm="1">
        <f t="array" ref="AB17">SUMPRODUCT(Calculation!DS$11:DS$65*(Calculation!$FK$11:$FK$65=$B17)*IF($B$5=0,1,0))</f>
        <v>0</v>
      </c>
      <c r="AC17" s="863" cm="1">
        <f t="array" ref="AC17">SUMPRODUCT(Calculation!DT$11:DT$65*(Calculation!$FK$11:$FK$65=$B17)*IF($B$5=0,1,0))</f>
        <v>0</v>
      </c>
      <c r="AD17" s="863" cm="1">
        <f t="array" ref="AD17">SUMPRODUCT(Calculation!DU$11:DU$65*(Calculation!$FK$11:$FK$65=$B17)*IF($B$5=0,1,0))</f>
        <v>0</v>
      </c>
      <c r="AE17" s="879">
        <f>IF(SUM($Z17:$AD17)=0,0,SUM($Y17:$AD17))</f>
        <v>0</v>
      </c>
      <c r="AF17" s="863" cm="1">
        <f t="array" ref="AF17">SUMPRODUCT(Calculation!DW$11:DW$65*(Calculation!$FK$11:$FK$65=$B17)*IF($B$5=0,1,0))</f>
        <v>0</v>
      </c>
      <c r="AG17" s="863" cm="1">
        <f t="array" ref="AG17">SUMPRODUCT(Calculation!DX$11:DX$65*(Calculation!$FK$11:$FK$65=$B17)*IF($B$5=0,1,0))</f>
        <v>0</v>
      </c>
      <c r="AH17" s="863" cm="1">
        <f t="array" ref="AH17">SUMPRODUCT(Calculation!DY$11:DY$65*(Calculation!$FK$11:$FK$65=$B17)*IF($B$5=0,1,0))</f>
        <v>0</v>
      </c>
      <c r="AI17" s="863" cm="1">
        <f t="array" ref="AI17">SUMPRODUCT(Calculation!DZ$11:DZ$65*(Calculation!$FK$11:$FK$65=$B17)*IF($B$5=0,1,0))</f>
        <v>0</v>
      </c>
      <c r="AJ17" s="863" cm="1">
        <f t="array" ref="AJ17">SUMPRODUCT(Calculation!EA$11:EA$65*(Calculation!$FK$11:$FK$65=$B17)*IF($B$5=0,1,0))</f>
        <v>0</v>
      </c>
      <c r="AK17" s="879">
        <f>IF(SUM(Cluster2[[Auss.7]:[Sonstige11]])=0,0,SUM($Y17:$AD17,$AF17:$AJ17))</f>
        <v>0</v>
      </c>
      <c r="AL17" s="278">
        <f>IF($B$5=0,$AK17,$Y17)</f>
        <v>0</v>
      </c>
    </row>
    <row r="18" spans="2:38">
      <c r="K18" s="935"/>
      <c r="L18" s="935"/>
    </row>
    <row r="19" spans="2:38">
      <c r="B19" s="294" t="s">
        <v>233</v>
      </c>
      <c r="C19" s="795" t="s">
        <v>1385</v>
      </c>
      <c r="D19" s="795" t="s">
        <v>161</v>
      </c>
      <c r="E19" s="795" t="s">
        <v>335</v>
      </c>
      <c r="F19" s="795" t="s">
        <v>1361</v>
      </c>
      <c r="G19" s="795" t="s">
        <v>1370</v>
      </c>
      <c r="H19" s="795" t="s">
        <v>697</v>
      </c>
      <c r="I19" s="795" t="s">
        <v>27</v>
      </c>
      <c r="J19" s="795" t="s">
        <v>10</v>
      </c>
      <c r="K19" s="936" t="s">
        <v>2617</v>
      </c>
      <c r="L19" s="936" t="s">
        <v>1368</v>
      </c>
      <c r="M19" s="795" t="s">
        <v>2606</v>
      </c>
      <c r="N19" s="795" t="s">
        <v>698</v>
      </c>
      <c r="O19" s="795" t="s">
        <v>1</v>
      </c>
      <c r="P19" s="795" t="s">
        <v>9</v>
      </c>
      <c r="Q19" s="795" t="s">
        <v>12</v>
      </c>
      <c r="R19" s="795" t="s">
        <v>29</v>
      </c>
      <c r="S19" s="795" t="s">
        <v>28</v>
      </c>
      <c r="T19" s="795" t="s">
        <v>13</v>
      </c>
      <c r="U19" s="795" t="s">
        <v>1371</v>
      </c>
      <c r="V19" s="795" t="s">
        <v>1372</v>
      </c>
      <c r="W19" s="795" t="s">
        <v>14</v>
      </c>
      <c r="X19" s="795" t="s">
        <v>666</v>
      </c>
      <c r="Y19" s="795" t="s">
        <v>11</v>
      </c>
      <c r="Z19" s="795" t="s">
        <v>2594</v>
      </c>
      <c r="AA19" s="795" t="s">
        <v>2595</v>
      </c>
      <c r="AB19" s="795" t="s">
        <v>2596</v>
      </c>
      <c r="AC19" s="795" t="s">
        <v>2597</v>
      </c>
      <c r="AD19" s="795" t="s">
        <v>2598</v>
      </c>
      <c r="AE19" s="795" t="s">
        <v>2599</v>
      </c>
      <c r="AF19" s="795" t="s">
        <v>2600</v>
      </c>
      <c r="AG19" s="795" t="s">
        <v>2601</v>
      </c>
      <c r="AH19" s="795" t="s">
        <v>2602</v>
      </c>
      <c r="AI19" s="795" t="s">
        <v>2603</v>
      </c>
      <c r="AJ19" s="795" t="s">
        <v>2604</v>
      </c>
      <c r="AK19" s="880" t="s">
        <v>2605</v>
      </c>
      <c r="AL19" s="229" t="s">
        <v>36</v>
      </c>
    </row>
    <row r="20" spans="2:38">
      <c r="B20" s="944" t="s">
        <v>234</v>
      </c>
      <c r="C20" s="863" cm="1">
        <f t="array" ref="C20">SUMPRODUCT(Calculation!CV$11:CV$65*(Calculation!$FL$11:$FL$65=$B20)*IF($B$5=0,1,Calculation!$CA$11:$CA$65=$B$5))</f>
        <v>0</v>
      </c>
      <c r="D20" s="863" cm="1">
        <f t="array" ref="D20">SUMPRODUCT(Calculation!CW$11:CW$65*(Calculation!$FL$11:$FL$65=$B20)*IF($B$5=0,1,Calculation!$CA$11:$CA$65=$B$5))</f>
        <v>0</v>
      </c>
      <c r="E20" s="863" cm="1">
        <f t="array" ref="E20">SUMPRODUCT(Calculation!CX$11:CX$65*(Calculation!$FL$11:$FL$65=$B20)*IF($B$5=0,1,Calculation!$CA$11:$CA$65=$B$5))</f>
        <v>0</v>
      </c>
      <c r="F20" s="863" cm="1">
        <f t="array" ref="F20">SUMPRODUCT(Calculation!CY$11:CY$65*(Calculation!$FL$11:$FL$65=$B20)*IF($B$5=0,1,Calculation!$CA$11:$CA$65=$B$5))</f>
        <v>0</v>
      </c>
      <c r="G20" s="863" cm="1">
        <f t="array" ref="G20">SUMPRODUCT(Calculation!CZ$11:CZ$65*(Calculation!$FL$11:$FL$65=$B20)*IF($B$5=0,1,Calculation!$CA$11:$CA$65=$B$5))</f>
        <v>0</v>
      </c>
      <c r="H20" s="863" cm="1">
        <f t="array" ref="H20">SUMPRODUCT(Calculation!DA$11:DA$65*(Calculation!$FL$11:$FL$65=$B20)*IF($B$5=0,1,Calculation!$CA$11:$CA$65=$B$5))</f>
        <v>0</v>
      </c>
      <c r="I20" s="863" cm="1">
        <f t="array" ref="I20">SUMPRODUCT(Calculation!DB$11:DB$65*(Calculation!$FL$11:$FL$65=$B20)*IF($B$5=0,1,Calculation!$CA$11:$CA$65=$B$5))</f>
        <v>0</v>
      </c>
      <c r="J20" s="876">
        <f>SUM($C20:$I20)</f>
        <v>0</v>
      </c>
      <c r="K20" s="877" cm="1">
        <f t="array" ref="K20">SUMPRODUCT(Calculation!DD$11:DD$65*(Calculation!$FL$11:$FL$65=$B20)*IF($B$5=0,1,Calculation!$CA$11:$CA$65=$B$5))</f>
        <v>0</v>
      </c>
      <c r="L20" s="877" cm="1">
        <f t="array" ref="L20">SUMPRODUCT(Calculation!DP$11:DP$65*(Calculation!$FL$11:$FL$65=$B20)*IF($B$5=0,0,Calculation!$CB$11:$CB$65=$B$5))
+SUMPRODUCT(Calculation!DP$11:DU$65*(Calculation!$FL$11:$FL$65=$B20)*IF($B$5=0,0,Calculation!$CC$11:$CC$65=$B$5))</f>
        <v>0</v>
      </c>
      <c r="M20" s="863">
        <f>SUM($K20:$L20)</f>
        <v>0</v>
      </c>
      <c r="N20" s="863" cm="1">
        <f t="array" ref="N20">SUMPRODUCT(Calculation!DE$11:DE$65*(Calculation!$FL$11:$FL$65=$B20)*IF($B$5=0,1,Calculation!$CA$11:$CA$65=$B$5))
+SUMPRODUCT(Calculation!DQ$11:DQ$65*(Calculation!$FL$11:$FL$65=$B20)*IF($B$5=0,0,Calculation!$CB$11:$CB$65=$B$5))
+SUMPRODUCT(Calculation!DW$11:DW$65*(Calculation!$FL$11:$FL$65=$B20)*IF($B$5=0,0,Calculation!$CC$11:$CC$65=$B$5))</f>
        <v>0</v>
      </c>
      <c r="O20" s="863" cm="1">
        <f t="array" ref="O20">SUMPRODUCT(Calculation!DF$11:DF$65*(Calculation!$FL$11:$FL$65=$B20)*IF($B$5=0,1,Calculation!$CA$11:$CA$65=$B$5))
+SUMPRODUCT(Calculation!DR$11:DR$65*(Calculation!$FL$11:$FL$65=$B20)*IF($B$5=0,0,Calculation!$CB$11:$CB$65=$B$5))
+SUMPRODUCT(Calculation!DX$11:DX$65*(Calculation!$FL$11:$FL$65=$B20)*IF($B$5=0,0,Calculation!$CC$11:$CC$65=$B$5))</f>
        <v>0</v>
      </c>
      <c r="P20" s="876">
        <f>SUM($M20:$O20)</f>
        <v>0</v>
      </c>
      <c r="Q20" s="878">
        <f>$J20+$P20</f>
        <v>0</v>
      </c>
      <c r="R20" s="863" cm="1">
        <f t="array" ref="R20">SUMPRODUCT(Calculation!DI$11:DI$65*(Calculation!$FL$11:$FL$65=$B20)*IF($B$5=0,1,Calculation!$CA$11:$CA$65=$B$5))</f>
        <v>0</v>
      </c>
      <c r="S20" s="863" cm="1">
        <f t="array" ref="S20">SUMPRODUCT(Calculation!DJ$11:DJ$65*(Calculation!$FL$11:$FL$65=$B20)*IF($B$5=0,1,Calculation!$CA$11:$CA$65=$B$5))
+(SUMPRODUCT(Calculation!DS$11:DS$65*(Calculation!$FL$11:$FL$65=$B20)*IF($B$5=0,0,Calculation!$CB$11:$CB$65=$B$5))
+SUMPRODUCT(Calculation!DY$11:DY$65*(Calculation!$FL$11:$FL$65=$B20)*IF($B$5=0,0,Calculation!$CC$11:$CC$65=$B$5)))*IF(INDEX(Settings[],MATCH(3001,Settings[ID],0),2)="B",1,0)</f>
        <v>0</v>
      </c>
      <c r="T20" s="863" cm="1">
        <f t="array" ref="T20">SUMPRODUCT(Calculation!DK$11:DK$65*(Calculation!$FL$11:$FL$65=$B20)*IF($B$5=0,1,Calculation!$CA$11:$CA$65=$B$5))
+(SUMPRODUCT(Calculation!DS$11:DS$65*(Calculation!$FL$11:$FL$65=$B20)*IF($B$5=0,0,Calculation!$CB$11:$CB$65=$B$5))
+SUMPRODUCT(Calculation!DY$11:DY$65*(Calculation!$FL$11:$FL$65=$B20)*IF($B$5=0,0,Calculation!$CC$11:$CC$65=$B$5)))*IF(INDEX(Settings[],MATCH(3001,Settings[ID],0),2)="B",0,1)</f>
        <v>0</v>
      </c>
      <c r="U20" s="863" cm="1">
        <f t="array" ref="U20">SUMPRODUCT(Calculation!DL$11:DL$65*(Calculation!$FL$11:$FL$65=$B20)*IF($B$5=0,1,Calculation!$CA$11:$CA$65=$B$5))</f>
        <v>0</v>
      </c>
      <c r="V20" s="863" cm="1">
        <f t="array" ref="V20">SUMPRODUCT(Calculation!DM$11:DM$65*(Calculation!$FL$11:$FL$65=$B20)*IF($B$5=0,1,Calculation!$CA$11:$CA$65=$B$5))
+(SUMPRODUCT(Calculation!DT$11:DT$65*(Calculation!$FL$11:$FL$65=$B20)*IF($B$5=0,0,Calculation!$CB$11:$CB$65=$B$5))
+SUMPRODUCT(Calculation!DZ$11:DZ$65*(Calculation!$FL$11:$FL$65=$B20)*IF($B$5=0,0,Calculation!$CC$11:$CC$65=$B$5)))*IF(INDEX(Settings[],MATCH(3002,Settings[ID],0),2)="B",1,0)</f>
        <v>0</v>
      </c>
      <c r="W20" s="863" cm="1">
        <f t="array" ref="W20">SUMPRODUCT(Calculation!DN$11:DN$65*(Calculation!$FL$11:$FL$65=$B20)*IF($B$5=0,1,Calculation!$CA$11:$CA$65=$B$5))
+(SUMPRODUCT(Calculation!DT$11:DT$65*(Calculation!$FL$11:$FL$65=$B20)*IF($B$5=0,0,Calculation!$CB$11:$CB$65=$B$5))
+SUMPRODUCT(Calculation!DZ$11:DZ$65*(Calculation!$FL$11:$FL$65=$B20)*IF($B$5=0,0,Calculation!$CC$11:$CC$65=$B$5)))*IF(INDEX(Settings[],MATCH(3002,Settings[ID],0),2)="B",0,1)</f>
        <v>0</v>
      </c>
      <c r="X20" s="863" cm="1">
        <f t="array" ref="X20">SUMPRODUCT(Calculation!DO$11:DO$65*(Calculation!$FL$11:$FL$65=$B20)*IF($B$5=0,1,Calculation!$CA$11:$CA$65=$B$5))
+SUMPRODUCT(Calculation!DU$11:DU$65*(Calculation!$FL$11:$FL$65=$B20)*IF($B$5=0,0,Calculation!$CB$11:$CB$65=$B$5))
+SUMPRODUCT(Calculation!EA$11:EA$65*(Calculation!$FL$11:$FL$65=$B20)*IF($B$5=0,0,Calculation!$CC$11:$CC$65=$B$5))</f>
        <v>0</v>
      </c>
      <c r="Y20" s="879">
        <f>SUM($Q20:$X20)</f>
        <v>0</v>
      </c>
      <c r="Z20" s="863" cm="1">
        <f t="array" ref="Z20">SUMPRODUCT(Calculation!DQ$11:DQ$65*(Calculation!$FL$11:$FL$65=$B20)*IF($B$5=0,1,0))</f>
        <v>0</v>
      </c>
      <c r="AA20" s="863" cm="1">
        <f t="array" ref="AA20">SUMPRODUCT(Calculation!DR$11:DR$65*(Calculation!$FL$11:$FL$65=$B20)*IF($B$5=0,1,0))</f>
        <v>0</v>
      </c>
      <c r="AB20" s="863" cm="1">
        <f t="array" ref="AB20">SUMPRODUCT(Calculation!DS$11:DS$65*(Calculation!$FL$11:$FL$65=$B20)*IF($B$5=0,1,0))</f>
        <v>0</v>
      </c>
      <c r="AC20" s="863" cm="1">
        <f t="array" ref="AC20">SUMPRODUCT(Calculation!DT$11:DT$65*(Calculation!$FL$11:$FL$65=$B20)*IF($B$5=0,1,0))</f>
        <v>0</v>
      </c>
      <c r="AD20" s="863" cm="1">
        <f t="array" ref="AD20">SUMPRODUCT(Calculation!DU$11:DU$65*(Calculation!$FL$11:$FL$65=$B20)*IF($B$5=0,1,0))</f>
        <v>0</v>
      </c>
      <c r="AE20" s="879">
        <f>IF(SUM($Z20:$AD20)=0,0,SUM($Y20:$AD20))</f>
        <v>0</v>
      </c>
      <c r="AF20" s="863" cm="1">
        <f t="array" ref="AF20">SUMPRODUCT(Calculation!DW$11:DW$65*(Calculation!$FL$11:$FL$65=$B20)*IF($B$5=0,1,0))</f>
        <v>0</v>
      </c>
      <c r="AG20" s="863" cm="1">
        <f t="array" ref="AG20">SUMPRODUCT(Calculation!DX$11:DX$65*(Calculation!$FL$11:$FL$65=$B20)*IF($B$5=0,1,0))</f>
        <v>0</v>
      </c>
      <c r="AH20" s="863" cm="1">
        <f t="array" ref="AH20">SUMPRODUCT(Calculation!DY$11:DY$65*(Calculation!$FL$11:$FL$65=$B20)*IF($B$5=0,1,0))</f>
        <v>0</v>
      </c>
      <c r="AI20" s="863" cm="1">
        <f t="array" ref="AI20">SUMPRODUCT(Calculation!DZ$11:DZ$65*(Calculation!$FL$11:$FL$65=$B20)*IF($B$5=0,1,0))</f>
        <v>0</v>
      </c>
      <c r="AJ20" s="863" cm="1">
        <f t="array" ref="AJ20">SUMPRODUCT(Calculation!EA$11:EA$65*(Calculation!$FL$11:$FL$65=$B20)*IF($B$5=0,1,0))</f>
        <v>0</v>
      </c>
      <c r="AK20" s="879">
        <f>IF(SUM(Cluster3[[Auss.7]:[Sonstige11]])=0,0,SUM($Y20:$AD20,$AF20:$AJ20))</f>
        <v>0</v>
      </c>
      <c r="AL20" s="278">
        <f>IF($B$5=0,$AK20,$Y20)</f>
        <v>0</v>
      </c>
    </row>
    <row r="21" spans="2:38">
      <c r="B21" s="944" t="s">
        <v>236</v>
      </c>
      <c r="C21" s="863" cm="1">
        <f t="array" ref="C21">SUMPRODUCT(Calculation!CV$11:CV$65*(Calculation!$FL$11:$FL$65=$B21)*IF($B$5=0,1,Calculation!$CA$11:$CA$65=$B$5))</f>
        <v>0</v>
      </c>
      <c r="D21" s="863" cm="1">
        <f t="array" ref="D21">SUMPRODUCT(Calculation!CW$11:CW$65*(Calculation!$FL$11:$FL$65=$B21)*IF($B$5=0,1,Calculation!$CA$11:$CA$65=$B$5))</f>
        <v>0</v>
      </c>
      <c r="E21" s="863" cm="1">
        <f t="array" ref="E21">SUMPRODUCT(Calculation!CX$11:CX$65*(Calculation!$FL$11:$FL$65=$B21)*IF($B$5=0,1,Calculation!$CA$11:$CA$65=$B$5))</f>
        <v>0</v>
      </c>
      <c r="F21" s="863" cm="1">
        <f t="array" ref="F21">SUMPRODUCT(Calculation!CY$11:CY$65*(Calculation!$FL$11:$FL$65=$B21)*IF($B$5=0,1,Calculation!$CA$11:$CA$65=$B$5))</f>
        <v>0</v>
      </c>
      <c r="G21" s="863" cm="1">
        <f t="array" ref="G21">SUMPRODUCT(Calculation!CZ$11:CZ$65*(Calculation!$FL$11:$FL$65=$B21)*IF($B$5=0,1,Calculation!$CA$11:$CA$65=$B$5))</f>
        <v>0</v>
      </c>
      <c r="H21" s="863" cm="1">
        <f t="array" ref="H21">SUMPRODUCT(Calculation!DA$11:DA$65*(Calculation!$FL$11:$FL$65=$B21)*IF($B$5=0,1,Calculation!$CA$11:$CA$65=$B$5))</f>
        <v>0</v>
      </c>
      <c r="I21" s="863" cm="1">
        <f t="array" ref="I21">SUMPRODUCT(Calculation!DB$11:DB$65*(Calculation!$FL$11:$FL$65=$B21)*IF($B$5=0,1,Calculation!$CA$11:$CA$65=$B$5))</f>
        <v>0</v>
      </c>
      <c r="J21" s="876">
        <f>SUM($C21:$I21)</f>
        <v>0</v>
      </c>
      <c r="K21" s="877" cm="1">
        <f t="array" ref="K21">SUMPRODUCT(Calculation!DD$11:DD$65*(Calculation!$FL$11:$FL$65=$B21)*IF($B$5=0,1,Calculation!$CA$11:$CA$65=$B$5))</f>
        <v>0</v>
      </c>
      <c r="L21" s="877" cm="1">
        <f t="array" ref="L21">SUMPRODUCT(Calculation!DP$11:DP$65*(Calculation!$FL$11:$FL$65=$B21)*IF($B$5=0,0,Calculation!$CB$11:$CB$65=$B$5))
+SUMPRODUCT(Calculation!DP$11:DU$65*(Calculation!$FL$11:$FL$65=$B21)*IF($B$5=0,0,Calculation!$CC$11:$CC$65=$B$5))</f>
        <v>0</v>
      </c>
      <c r="M21" s="863">
        <f>SUM($K21:$L21)</f>
        <v>0</v>
      </c>
      <c r="N21" s="863" cm="1">
        <f t="array" ref="N21">SUMPRODUCT(Calculation!DE$11:DE$65*(Calculation!$FL$11:$FL$65=$B21)*IF($B$5=0,1,Calculation!$CA$11:$CA$65=$B$5))
+SUMPRODUCT(Calculation!DQ$11:DQ$65*(Calculation!$FL$11:$FL$65=$B21)*IF($B$5=0,0,Calculation!$CB$11:$CB$65=$B$5))
+SUMPRODUCT(Calculation!DW$11:DW$65*(Calculation!$FL$11:$FL$65=$B21)*IF($B$5=0,0,Calculation!$CC$11:$CC$65=$B$5))</f>
        <v>0</v>
      </c>
      <c r="O21" s="863" cm="1">
        <f t="array" ref="O21">SUMPRODUCT(Calculation!DF$11:DF$65*(Calculation!$FL$11:$FL$65=$B21)*IF($B$5=0,1,Calculation!$CA$11:$CA$65=$B$5))
+SUMPRODUCT(Calculation!DR$11:DR$65*(Calculation!$FL$11:$FL$65=$B21)*IF($B$5=0,0,Calculation!$CB$11:$CB$65=$B$5))
+SUMPRODUCT(Calculation!DX$11:DX$65*(Calculation!$FL$11:$FL$65=$B21)*IF($B$5=0,0,Calculation!$CC$11:$CC$65=$B$5))</f>
        <v>0</v>
      </c>
      <c r="P21" s="876">
        <f>SUM($M21:$O21)</f>
        <v>0</v>
      </c>
      <c r="Q21" s="878">
        <f>$J21+$P21</f>
        <v>0</v>
      </c>
      <c r="R21" s="863" cm="1">
        <f t="array" ref="R21">SUMPRODUCT(Calculation!DI$11:DI$65*(Calculation!$FL$11:$FL$65=$B21)*IF($B$5=0,1,Calculation!$CA$11:$CA$65=$B$5))</f>
        <v>0</v>
      </c>
      <c r="S21" s="863" cm="1">
        <f t="array" ref="S21">SUMPRODUCT(Calculation!DJ$11:DJ$65*(Calculation!$FL$11:$FL$65=$B21)*IF($B$5=0,1,Calculation!$CA$11:$CA$65=$B$5))
+(SUMPRODUCT(Calculation!DS$11:DS$65*(Calculation!$FL$11:$FL$65=$B21)*IF($B$5=0,0,Calculation!$CB$11:$CB$65=$B$5))
+SUMPRODUCT(Calculation!DY$11:DY$65*(Calculation!$FL$11:$FL$65=$B21)*IF($B$5=0,0,Calculation!$CC$11:$CC$65=$B$5)))*IF(INDEX(Settings[],MATCH(3001,Settings[ID],0),2)="B",1,0)</f>
        <v>0</v>
      </c>
      <c r="T21" s="863" cm="1">
        <f t="array" ref="T21">SUMPRODUCT(Calculation!DK$11:DK$65*(Calculation!$FL$11:$FL$65=$B21)*IF($B$5=0,1,Calculation!$CA$11:$CA$65=$B$5))
+(SUMPRODUCT(Calculation!DS$11:DS$65*(Calculation!$FL$11:$FL$65=$B21)*IF($B$5=0,0,Calculation!$CB$11:$CB$65=$B$5))
+SUMPRODUCT(Calculation!DY$11:DY$65*(Calculation!$FL$11:$FL$65=$B21)*IF($B$5=0,0,Calculation!$CC$11:$CC$65=$B$5)))*IF(INDEX(Settings[],MATCH(3001,Settings[ID],0),2)="B",0,1)</f>
        <v>0</v>
      </c>
      <c r="U21" s="863" cm="1">
        <f t="array" ref="U21">SUMPRODUCT(Calculation!DL$11:DL$65*(Calculation!$FL$11:$FL$65=$B21)*IF($B$5=0,1,Calculation!$CA$11:$CA$65=$B$5))</f>
        <v>0</v>
      </c>
      <c r="V21" s="863" cm="1">
        <f t="array" ref="V21">SUMPRODUCT(Calculation!DM$11:DM$65*(Calculation!$FL$11:$FL$65=$B21)*IF($B$5=0,1,Calculation!$CA$11:$CA$65=$B$5))
+(SUMPRODUCT(Calculation!DT$11:DT$65*(Calculation!$FL$11:$FL$65=$B21)*IF($B$5=0,0,Calculation!$CB$11:$CB$65=$B$5))
+SUMPRODUCT(Calculation!DZ$11:DZ$65*(Calculation!$FL$11:$FL$65=$B21)*IF($B$5=0,0,Calculation!$CC$11:$CC$65=$B$5)))*IF(INDEX(Settings[],MATCH(3002,Settings[ID],0),2)="B",1,0)</f>
        <v>0</v>
      </c>
      <c r="W21" s="863" cm="1">
        <f t="array" ref="W21">SUMPRODUCT(Calculation!DN$11:DN$65*(Calculation!$FL$11:$FL$65=$B21)*IF($B$5=0,1,Calculation!$CA$11:$CA$65=$B$5))
+(SUMPRODUCT(Calculation!DT$11:DT$65*(Calculation!$FL$11:$FL$65=$B21)*IF($B$5=0,0,Calculation!$CB$11:$CB$65=$B$5))
+SUMPRODUCT(Calculation!DZ$11:DZ$65*(Calculation!$FL$11:$FL$65=$B21)*IF($B$5=0,0,Calculation!$CC$11:$CC$65=$B$5)))*IF(INDEX(Settings[],MATCH(3002,Settings[ID],0),2)="B",0,1)</f>
        <v>0</v>
      </c>
      <c r="X21" s="863" cm="1">
        <f t="array" ref="X21">SUMPRODUCT(Calculation!DO$11:DO$65*(Calculation!$FL$11:$FL$65=$B21)*IF($B$5=0,1,Calculation!$CA$11:$CA$65=$B$5))
+SUMPRODUCT(Calculation!DU$11:DU$65*(Calculation!$FL$11:$FL$65=$B21)*IF($B$5=0,0,Calculation!$CB$11:$CB$65=$B$5))
+SUMPRODUCT(Calculation!EA$11:EA$65*(Calculation!$FL$11:$FL$65=$B21)*IF($B$5=0,0,Calculation!$CC$11:$CC$65=$B$5))</f>
        <v>0</v>
      </c>
      <c r="Y21" s="879">
        <f>SUM($Q21:$X21)</f>
        <v>0</v>
      </c>
      <c r="Z21" s="863" cm="1">
        <f t="array" ref="Z21">SUMPRODUCT(Calculation!DQ$11:DQ$65*(Calculation!$FL$11:$FL$65=$B21)*IF($B$5=0,1,0))</f>
        <v>0</v>
      </c>
      <c r="AA21" s="863" cm="1">
        <f t="array" ref="AA21">SUMPRODUCT(Calculation!DR$11:DR$65*(Calculation!$FL$11:$FL$65=$B21)*IF($B$5=0,1,0))</f>
        <v>0</v>
      </c>
      <c r="AB21" s="863" cm="1">
        <f t="array" ref="AB21">SUMPRODUCT(Calculation!DS$11:DS$65*(Calculation!$FL$11:$FL$65=$B21)*IF($B$5=0,1,0))</f>
        <v>0</v>
      </c>
      <c r="AC21" s="863" cm="1">
        <f t="array" ref="AC21">SUMPRODUCT(Calculation!DT$11:DT$65*(Calculation!$FL$11:$FL$65=$B21)*IF($B$5=0,1,0))</f>
        <v>0</v>
      </c>
      <c r="AD21" s="863" cm="1">
        <f t="array" ref="AD21">SUMPRODUCT(Calculation!DU$11:DU$65*(Calculation!$FL$11:$FL$65=$B21)*IF($B$5=0,1,0))</f>
        <v>0</v>
      </c>
      <c r="AE21" s="879">
        <f>IF(SUM($Z21:$AD21)=0,0,SUM($Y21:$AD21))</f>
        <v>0</v>
      </c>
      <c r="AF21" s="863" cm="1">
        <f t="array" ref="AF21">SUMPRODUCT(Calculation!DW$11:DW$65*(Calculation!$FL$11:$FL$65=$B21)*IF($B$5=0,1,0))</f>
        <v>0</v>
      </c>
      <c r="AG21" s="863" cm="1">
        <f t="array" ref="AG21">SUMPRODUCT(Calculation!DX$11:DX$65*(Calculation!$FL$11:$FL$65=$B21)*IF($B$5=0,1,0))</f>
        <v>0</v>
      </c>
      <c r="AH21" s="863" cm="1">
        <f t="array" ref="AH21">SUMPRODUCT(Calculation!DY$11:DY$65*(Calculation!$FL$11:$FL$65=$B21)*IF($B$5=0,1,0))</f>
        <v>0</v>
      </c>
      <c r="AI21" s="863" cm="1">
        <f t="array" ref="AI21">SUMPRODUCT(Calculation!DZ$11:DZ$65*(Calculation!$FL$11:$FL$65=$B21)*IF($B$5=0,1,0))</f>
        <v>0</v>
      </c>
      <c r="AJ21" s="863" cm="1">
        <f t="array" ref="AJ21">SUMPRODUCT(Calculation!EA$11:EA$65*(Calculation!$FL$11:$FL$65=$B21)*IF($B$5=0,1,0))</f>
        <v>0</v>
      </c>
      <c r="AK21" s="879">
        <f>IF(SUM(Cluster3[[Auss.7]:[Sonstige11]])=0,0,SUM($Y21:$AD21,$AF21:$AJ21))</f>
        <v>0</v>
      </c>
      <c r="AL21" s="278">
        <f>IF($B$5=0,$AK21,$Y21)</f>
        <v>0</v>
      </c>
    </row>
    <row r="22" spans="2:38">
      <c r="B22" s="944" t="s">
        <v>235</v>
      </c>
      <c r="C22" s="863" cm="1">
        <f t="array" ref="C22">SUMPRODUCT(Calculation!CV$11:CV$65*(Calculation!$FL$11:$FL$65=$B22)*IF($B$5=0,1,Calculation!$CA$11:$CA$65=$B$5))</f>
        <v>0</v>
      </c>
      <c r="D22" s="863" cm="1">
        <f t="array" ref="D22">SUMPRODUCT(Calculation!CW$11:CW$65*(Calculation!$FL$11:$FL$65=$B22)*IF($B$5=0,1,Calculation!$CA$11:$CA$65=$B$5))</f>
        <v>0</v>
      </c>
      <c r="E22" s="863" cm="1">
        <f t="array" ref="E22">SUMPRODUCT(Calculation!CX$11:CX$65*(Calculation!$FL$11:$FL$65=$B22)*IF($B$5=0,1,Calculation!$CA$11:$CA$65=$B$5))</f>
        <v>0</v>
      </c>
      <c r="F22" s="863" cm="1">
        <f t="array" ref="F22">SUMPRODUCT(Calculation!CY$11:CY$65*(Calculation!$FL$11:$FL$65=$B22)*IF($B$5=0,1,Calculation!$CA$11:$CA$65=$B$5))</f>
        <v>0</v>
      </c>
      <c r="G22" s="863" cm="1">
        <f t="array" ref="G22">SUMPRODUCT(Calculation!CZ$11:CZ$65*(Calculation!$FL$11:$FL$65=$B22)*IF($B$5=0,1,Calculation!$CA$11:$CA$65=$B$5))</f>
        <v>0</v>
      </c>
      <c r="H22" s="863" cm="1">
        <f t="array" ref="H22">SUMPRODUCT(Calculation!DA$11:DA$65*(Calculation!$FL$11:$FL$65=$B22)*IF($B$5=0,1,Calculation!$CA$11:$CA$65=$B$5))</f>
        <v>0</v>
      </c>
      <c r="I22" s="863" cm="1">
        <f t="array" ref="I22">SUMPRODUCT(Calculation!DB$11:DB$65*(Calculation!$FL$11:$FL$65=$B22)*IF($B$5=0,1,Calculation!$CA$11:$CA$65=$B$5))</f>
        <v>0</v>
      </c>
      <c r="J22" s="876">
        <f>SUM($C22:$I22)</f>
        <v>0</v>
      </c>
      <c r="K22" s="877" cm="1">
        <f t="array" ref="K22">SUMPRODUCT(Calculation!DD$11:DD$65*(Calculation!$FL$11:$FL$65=$B22)*IF($B$5=0,1,Calculation!$CA$11:$CA$65=$B$5))</f>
        <v>0</v>
      </c>
      <c r="L22" s="877" cm="1">
        <f t="array" ref="L22">SUMPRODUCT(Calculation!DP$11:DP$65*(Calculation!$FL$11:$FL$65=$B22)*IF($B$5=0,0,Calculation!$CB$11:$CB$65=$B$5))
+SUMPRODUCT(Calculation!DP$11:DU$65*(Calculation!$FL$11:$FL$65=$B22)*IF($B$5=0,0,Calculation!$CC$11:$CC$65=$B$5))</f>
        <v>0</v>
      </c>
      <c r="M22" s="863">
        <f>SUM($K22:$L22)</f>
        <v>0</v>
      </c>
      <c r="N22" s="863" cm="1">
        <f t="array" ref="N22">SUMPRODUCT(Calculation!DE$11:DE$65*(Calculation!$FL$11:$FL$65=$B22)*IF($B$5=0,1,Calculation!$CA$11:$CA$65=$B$5))
+SUMPRODUCT(Calculation!DQ$11:DQ$65*(Calculation!$FL$11:$FL$65=$B22)*IF($B$5=0,0,Calculation!$CB$11:$CB$65=$B$5))
+SUMPRODUCT(Calculation!DW$11:DW$65*(Calculation!$FL$11:$FL$65=$B22)*IF($B$5=0,0,Calculation!$CC$11:$CC$65=$B$5))</f>
        <v>0</v>
      </c>
      <c r="O22" s="863" cm="1">
        <f t="array" ref="O22">SUMPRODUCT(Calculation!DF$11:DF$65*(Calculation!$FL$11:$FL$65=$B22)*IF($B$5=0,1,Calculation!$CA$11:$CA$65=$B$5))
+SUMPRODUCT(Calculation!DR$11:DR$65*(Calculation!$FL$11:$FL$65=$B22)*IF($B$5=0,0,Calculation!$CB$11:$CB$65=$B$5))
+SUMPRODUCT(Calculation!DX$11:DX$65*(Calculation!$FL$11:$FL$65=$B22)*IF($B$5=0,0,Calculation!$CC$11:$CC$65=$B$5))</f>
        <v>0</v>
      </c>
      <c r="P22" s="876">
        <f>SUM($M22:$O22)</f>
        <v>0</v>
      </c>
      <c r="Q22" s="878">
        <f>$J22+$P22</f>
        <v>0</v>
      </c>
      <c r="R22" s="863" cm="1">
        <f t="array" ref="R22">SUMPRODUCT(Calculation!DI$11:DI$65*(Calculation!$FL$11:$FL$65=$B22)*IF($B$5=0,1,Calculation!$CA$11:$CA$65=$B$5))</f>
        <v>0</v>
      </c>
      <c r="S22" s="863" cm="1">
        <f t="array" ref="S22">SUMPRODUCT(Calculation!DJ$11:DJ$65*(Calculation!$FL$11:$FL$65=$B22)*IF($B$5=0,1,Calculation!$CA$11:$CA$65=$B$5))
+(SUMPRODUCT(Calculation!DS$11:DS$65*(Calculation!$FL$11:$FL$65=$B22)*IF($B$5=0,0,Calculation!$CB$11:$CB$65=$B$5))
+SUMPRODUCT(Calculation!DY$11:DY$65*(Calculation!$FL$11:$FL$65=$B22)*IF($B$5=0,0,Calculation!$CC$11:$CC$65=$B$5)))*IF(INDEX(Settings[],MATCH(3001,Settings[ID],0),2)="B",1,0)</f>
        <v>0</v>
      </c>
      <c r="T22" s="863" cm="1">
        <f t="array" ref="T22">SUMPRODUCT(Calculation!DK$11:DK$65*(Calculation!$FL$11:$FL$65=$B22)*IF($B$5=0,1,Calculation!$CA$11:$CA$65=$B$5))
+(SUMPRODUCT(Calculation!DS$11:DS$65*(Calculation!$FL$11:$FL$65=$B22)*IF($B$5=0,0,Calculation!$CB$11:$CB$65=$B$5))
+SUMPRODUCT(Calculation!DY$11:DY$65*(Calculation!$FL$11:$FL$65=$B22)*IF($B$5=0,0,Calculation!$CC$11:$CC$65=$B$5)))*IF(INDEX(Settings[],MATCH(3001,Settings[ID],0),2)="B",0,1)</f>
        <v>0</v>
      </c>
      <c r="U22" s="863" cm="1">
        <f t="array" ref="U22">SUMPRODUCT(Calculation!DL$11:DL$65*(Calculation!$FL$11:$FL$65=$B22)*IF($B$5=0,1,Calculation!$CA$11:$CA$65=$B$5))</f>
        <v>0</v>
      </c>
      <c r="V22" s="863" cm="1">
        <f t="array" ref="V22">SUMPRODUCT(Calculation!DM$11:DM$65*(Calculation!$FL$11:$FL$65=$B22)*IF($B$5=0,1,Calculation!$CA$11:$CA$65=$B$5))
+(SUMPRODUCT(Calculation!DT$11:DT$65*(Calculation!$FL$11:$FL$65=$B22)*IF($B$5=0,0,Calculation!$CB$11:$CB$65=$B$5))
+SUMPRODUCT(Calculation!DZ$11:DZ$65*(Calculation!$FL$11:$FL$65=$B22)*IF($B$5=0,0,Calculation!$CC$11:$CC$65=$B$5)))*IF(INDEX(Settings[],MATCH(3002,Settings[ID],0),2)="B",1,0)</f>
        <v>0</v>
      </c>
      <c r="W22" s="863" cm="1">
        <f t="array" ref="W22">SUMPRODUCT(Calculation!DN$11:DN$65*(Calculation!$FL$11:$FL$65=$B22)*IF($B$5=0,1,Calculation!$CA$11:$CA$65=$B$5))
+(SUMPRODUCT(Calculation!DT$11:DT$65*(Calculation!$FL$11:$FL$65=$B22)*IF($B$5=0,0,Calculation!$CB$11:$CB$65=$B$5))
+SUMPRODUCT(Calculation!DZ$11:DZ$65*(Calculation!$FL$11:$FL$65=$B22)*IF($B$5=0,0,Calculation!$CC$11:$CC$65=$B$5)))*IF(INDEX(Settings[],MATCH(3002,Settings[ID],0),2)="B",0,1)</f>
        <v>0</v>
      </c>
      <c r="X22" s="863" cm="1">
        <f t="array" ref="X22">SUMPRODUCT(Calculation!DO$11:DO$65*(Calculation!$FL$11:$FL$65=$B22)*IF($B$5=0,1,Calculation!$CA$11:$CA$65=$B$5))
+SUMPRODUCT(Calculation!DU$11:DU$65*(Calculation!$FL$11:$FL$65=$B22)*IF($B$5=0,0,Calculation!$CB$11:$CB$65=$B$5))
+SUMPRODUCT(Calculation!EA$11:EA$65*(Calculation!$FL$11:$FL$65=$B22)*IF($B$5=0,0,Calculation!$CC$11:$CC$65=$B$5))</f>
        <v>0</v>
      </c>
      <c r="Y22" s="879">
        <f>SUM($Q22:$X22)</f>
        <v>0</v>
      </c>
      <c r="Z22" s="863" cm="1">
        <f t="array" ref="Z22">SUMPRODUCT(Calculation!DQ$11:DQ$65*(Calculation!$FL$11:$FL$65=$B22)*IF($B$5=0,1,0))</f>
        <v>0</v>
      </c>
      <c r="AA22" s="863" cm="1">
        <f t="array" ref="AA22">SUMPRODUCT(Calculation!DR$11:DR$65*(Calculation!$FL$11:$FL$65=$B22)*IF($B$5=0,1,0))</f>
        <v>0</v>
      </c>
      <c r="AB22" s="863" cm="1">
        <f t="array" ref="AB22">SUMPRODUCT(Calculation!DS$11:DS$65*(Calculation!$FL$11:$FL$65=$B22)*IF($B$5=0,1,0))</f>
        <v>0</v>
      </c>
      <c r="AC22" s="863" cm="1">
        <f t="array" ref="AC22">SUMPRODUCT(Calculation!DT$11:DT$65*(Calculation!$FL$11:$FL$65=$B22)*IF($B$5=0,1,0))</f>
        <v>0</v>
      </c>
      <c r="AD22" s="863" cm="1">
        <f t="array" ref="AD22">SUMPRODUCT(Calculation!DU$11:DU$65*(Calculation!$FL$11:$FL$65=$B22)*IF($B$5=0,1,0))</f>
        <v>0</v>
      </c>
      <c r="AE22" s="879">
        <f>IF(SUM($Z22:$AD22)=0,0,SUM($Y22:$AD22))</f>
        <v>0</v>
      </c>
      <c r="AF22" s="863" cm="1">
        <f t="array" ref="AF22">SUMPRODUCT(Calculation!DW$11:DW$65*(Calculation!$FL$11:$FL$65=$B22)*IF($B$5=0,1,0))</f>
        <v>0</v>
      </c>
      <c r="AG22" s="863" cm="1">
        <f t="array" ref="AG22">SUMPRODUCT(Calculation!DX$11:DX$65*(Calculation!$FL$11:$FL$65=$B22)*IF($B$5=0,1,0))</f>
        <v>0</v>
      </c>
      <c r="AH22" s="863" cm="1">
        <f t="array" ref="AH22">SUMPRODUCT(Calculation!DY$11:DY$65*(Calculation!$FL$11:$FL$65=$B22)*IF($B$5=0,1,0))</f>
        <v>0</v>
      </c>
      <c r="AI22" s="863" cm="1">
        <f t="array" ref="AI22">SUMPRODUCT(Calculation!DZ$11:DZ$65*(Calculation!$FL$11:$FL$65=$B22)*IF($B$5=0,1,0))</f>
        <v>0</v>
      </c>
      <c r="AJ22" s="863" cm="1">
        <f t="array" ref="AJ22">SUMPRODUCT(Calculation!EA$11:EA$65*(Calculation!$FL$11:$FL$65=$B22)*IF($B$5=0,1,0))</f>
        <v>0</v>
      </c>
      <c r="AK22" s="879">
        <f>IF(SUM(Cluster3[[Auss.7]:[Sonstige11]])=0,0,SUM($Y22:$AD22,$AF22:$AJ22))</f>
        <v>0</v>
      </c>
      <c r="AL22" s="278">
        <f>IF($B$5=0,$AK22,$Y22)</f>
        <v>0</v>
      </c>
    </row>
    <row r="26" spans="2:38">
      <c r="B26" s="294" t="s">
        <v>2640</v>
      </c>
      <c r="C26" s="795" t="s">
        <v>1385</v>
      </c>
      <c r="D26" s="795" t="s">
        <v>161</v>
      </c>
      <c r="E26" s="795" t="s">
        <v>335</v>
      </c>
      <c r="F26" s="795" t="s">
        <v>1361</v>
      </c>
      <c r="G26" s="795" t="s">
        <v>1370</v>
      </c>
      <c r="H26" s="795" t="s">
        <v>697</v>
      </c>
      <c r="I26" s="795" t="s">
        <v>27</v>
      </c>
      <c r="J26" s="795" t="s">
        <v>10</v>
      </c>
      <c r="K26" s="936" t="s">
        <v>2617</v>
      </c>
      <c r="L26" s="936" t="s">
        <v>1368</v>
      </c>
      <c r="M26" s="795" t="s">
        <v>2606</v>
      </c>
      <c r="N26" s="795" t="s">
        <v>698</v>
      </c>
      <c r="O26" s="795" t="s">
        <v>1</v>
      </c>
      <c r="P26" s="795" t="s">
        <v>9</v>
      </c>
      <c r="Q26" s="795" t="s">
        <v>12</v>
      </c>
      <c r="R26" s="795" t="s">
        <v>29</v>
      </c>
      <c r="S26" s="795" t="s">
        <v>28</v>
      </c>
      <c r="T26" s="795" t="s">
        <v>13</v>
      </c>
      <c r="U26" s="795" t="s">
        <v>1371</v>
      </c>
      <c r="V26" s="795" t="s">
        <v>1372</v>
      </c>
      <c r="W26" s="795" t="s">
        <v>14</v>
      </c>
      <c r="X26" s="795" t="s">
        <v>666</v>
      </c>
      <c r="Y26" s="795" t="s">
        <v>11</v>
      </c>
      <c r="Z26" s="795" t="s">
        <v>2594</v>
      </c>
      <c r="AA26" s="795" t="s">
        <v>2595</v>
      </c>
      <c r="AB26" s="795" t="s">
        <v>2596</v>
      </c>
      <c r="AC26" s="795" t="s">
        <v>2597</v>
      </c>
      <c r="AD26" s="795" t="s">
        <v>2598</v>
      </c>
      <c r="AE26" s="795" t="s">
        <v>2599</v>
      </c>
      <c r="AF26" s="795" t="s">
        <v>2600</v>
      </c>
      <c r="AG26" s="795" t="s">
        <v>2601</v>
      </c>
      <c r="AH26" s="795" t="s">
        <v>2602</v>
      </c>
      <c r="AI26" s="795" t="s">
        <v>2603</v>
      </c>
      <c r="AJ26" s="795" t="s">
        <v>2604</v>
      </c>
      <c r="AK26" s="880" t="s">
        <v>2605</v>
      </c>
      <c r="AL26" s="229" t="s">
        <v>36</v>
      </c>
    </row>
    <row r="27" spans="2:38">
      <c r="B27" s="968" t="s">
        <v>70</v>
      </c>
      <c r="C27" s="877" cm="1">
        <f t="array" ref="C27">SUMPRODUCT(Calculation!CV$11:CV$65*(Calculation!$CE$11:$CE$65&gt;0))</f>
        <v>0.43000520680000837</v>
      </c>
      <c r="D27" s="877" cm="1">
        <f t="array" ref="D27">SUMPRODUCT(Calculation!CW$11:CW$65*(Calculation!$CE$11:$CE$65&gt;0))</f>
        <v>6.7870461777733745E-2</v>
      </c>
      <c r="E27" s="877" cm="1">
        <f t="array" ref="E27">SUMPRODUCT(Calculation!CX$11:CX$65*(Calculation!$CE$11:$CE$65&gt;0))</f>
        <v>0.45173990162037037</v>
      </c>
      <c r="F27" s="877" cm="1">
        <f t="array" ref="F27">SUMPRODUCT(Calculation!CY$11:CY$65*(Calculation!$CE$11:$CE$65&gt;0))</f>
        <v>0</v>
      </c>
      <c r="G27" s="877" cm="1">
        <f t="array" ref="G27">SUMPRODUCT(Calculation!CZ$11:CZ$65*(Calculation!$CE$11:$CE$65&gt;0))</f>
        <v>0</v>
      </c>
      <c r="H27" s="877" cm="1">
        <f t="array" ref="H27">SUMPRODUCT(Calculation!DA$11:DA$65*(Calculation!$CE$11:$CE$65&gt;0))</f>
        <v>8.8174510842037885E-3</v>
      </c>
      <c r="I27" s="877" cm="1">
        <f t="array" ref="I27">SUMPRODUCT(Calculation!DB$11:DB$65*(Calculation!$CE$11:$CE$65&gt;0))</f>
        <v>0.11842002359220592</v>
      </c>
      <c r="J27" s="969">
        <f>SUM($C27:$I27)</f>
        <v>1.0768530448745222</v>
      </c>
      <c r="K27" s="877" cm="1">
        <f t="array" ref="K27">SUMPRODUCT(Calculation!DD$11:DD$65*(Calculation!$CE$11:$CE$65&gt;0))</f>
        <v>16.919265039471998</v>
      </c>
      <c r="L27" s="877" cm="1">
        <f t="array" ref="L27">SUMPRODUCT(Calculation!DP$11:DP$65*(Calculation!$BZ$11:$BZ$65=$B27)*IF($B$5=0,0,Calculation!$CB$11:$CB$65=$B$5))
+SUMPRODUCT(Calculation!DP$11:DU$65*(Calculation!$BZ$11:$BZ$65=$B27)*IF($B$5=0,0,Calculation!$CC$11:$CC$65=$B$5))</f>
        <v>0</v>
      </c>
      <c r="M27" s="877">
        <f>SUM($K27:$L27)</f>
        <v>16.919265039471998</v>
      </c>
      <c r="N27" s="877" cm="1">
        <f t="array" ref="N27">SUMPRODUCT(Calculation!DE$11:DE$65*(Calculation!$CE$11:$CE$65&gt;0))
+SUMPRODUCT(Calculation!DQ$11:DQ$65*(Calculation!$BZ$11:$BZ$65=$B27)*IF($B$5=0,0,Calculation!$CB$11:$CB$65=$B$5))
+SUMPRODUCT(Calculation!DW$11:DW$65*(Calculation!$BZ$11:$BZ$65=$B27)*IF($B$5=0,0,Calculation!$CC$11:$CC$65=$B$5))</f>
        <v>0.16919265039472003</v>
      </c>
      <c r="O27" s="877" cm="1">
        <f t="array" ref="O27">SUMPRODUCT(Calculation!DF$11:DF$65*(Calculation!$CE$11:$CE$65&gt;0))
+SUMPRODUCT(Calculation!DR$11:DR$65*(Calculation!$BZ$11:$BZ$65=$B27)*IF($B$5=0,0,Calculation!$CB$11:$CB$65=$B$5))
+SUMPRODUCT(Calculation!DX$11:DX$65*(Calculation!$BZ$11:$BZ$65=$B27)*IF($B$5=0,0,Calculation!$CC$11:$CC$65=$B$5))</f>
        <v>7.2920215283325707E-2</v>
      </c>
      <c r="P27" s="969">
        <f>SUM($M27:$O27)</f>
        <v>17.161377905150044</v>
      </c>
      <c r="Q27" s="878">
        <f>$J27+$P27</f>
        <v>18.238230950024565</v>
      </c>
      <c r="R27" s="877" cm="1">
        <f t="array" ref="R27">SUMPRODUCT(Calculation!DI$11:DI$65*(Calculation!$CE$11:$CE$65&gt;0))</f>
        <v>0</v>
      </c>
      <c r="S27" s="877" cm="1">
        <f t="array" ref="S27">SUMPRODUCT(Calculation!DJ$11:DJ$65*(Calculation!$CE$11:$CE$65&gt;0))
+(SUMPRODUCT(Calculation!DS$11:DS$65*(Calculation!$BZ$11:$BZ$65=$B27)*IF($B$5=0,0,Calculation!$CB$11:$CB$65=$B$5))
+SUMPRODUCT(Calculation!DY$11:DY$65*(Calculation!$BZ$11:$BZ$65=$B27)*IF($B$5=0,0,Calculation!$CC$11:$CC$65=$B$5)))*IF(INDEX(Settings[],MATCH(3001,Settings[ID],0),2)="B",1,0)</f>
        <v>0</v>
      </c>
      <c r="T27" s="877" cm="1">
        <f t="array" ref="T27">SUMPRODUCT(Calculation!DK$11:DK$65*(Calculation!$CE$11:$CE$65&gt;0))
+(SUMPRODUCT(Calculation!DS$11:DS$65*(Calculation!$BZ$11:$BZ$65=$B27)*IF($B$5=0,0,Calculation!$CB$11:$CB$65=$B$5))
+SUMPRODUCT(Calculation!DY$11:DY$65*(Calculation!$BZ$11:$BZ$65=$B27)*IF($B$5=0,0,Calculation!$CC$11:$CC$65=$B$5)))*IF(INDEX(Settings[],MATCH(3001,Settings[ID],0),2)="B",0,1)</f>
        <v>1.8229413498940366</v>
      </c>
      <c r="U27" s="877" cm="1">
        <f t="array" ref="U27">SUMPRODUCT(Calculation!DL$11:DL$65*(Calculation!$CE$11:$CE$65&gt;0))</f>
        <v>0</v>
      </c>
      <c r="V27" s="877" cm="1">
        <f t="array" ref="V27">SUMPRODUCT(Calculation!DM$11:DM$65*(Calculation!$CE$11:$CE$65&gt;0))
+(SUMPRODUCT(Calculation!DT$11:DT$65*(Calculation!$BZ$11:$BZ$65=$B27)*IF($B$5=0,0,Calculation!$CB$11:$CB$65=$B$5))
+SUMPRODUCT(Calculation!DZ$11:DZ$65*(Calculation!$BZ$11:$BZ$65=$B27)*IF($B$5=0,0,Calculation!$CC$11:$CC$65=$B$5)))*IF(INDEX(Settings[],MATCH(3002,Settings[ID],0),2)="B",1,0)</f>
        <v>0</v>
      </c>
      <c r="W27" s="877" cm="1">
        <f t="array" ref="W27">SUMPRODUCT(Calculation!DN$11:DN$65*(Calculation!$CE$11:$CE$65&gt;0))
+(SUMPRODUCT(Calculation!DT$11:DT$65*(Calculation!$BZ$11:$BZ$65=$B27)*IF($B$5=0,0,Calculation!$CB$11:$CB$65=$B$5))
+SUMPRODUCT(Calculation!DZ$11:DZ$65*(Calculation!$BZ$11:$BZ$65=$B27)*IF($B$5=0,0,Calculation!$CC$11:$CC$65=$B$5)))*IF(INDEX(Settings[],MATCH(3002,Settings[ID],0),2)="B",0,1)</f>
        <v>1.0792380379957391</v>
      </c>
      <c r="X27" s="877" cm="1">
        <f t="array" ref="X27">SUMPRODUCT(Calculation!DO$11:DO$65*(Calculation!$CE$11:$CE$65&gt;0))
+SUMPRODUCT(Calculation!DU$11:DU$65*(Calculation!$BZ$11:$BZ$65=$B27)*IF($B$5=0,0,Calculation!$CB$11:$CB$65=$B$5))
+SUMPRODUCT(Calculation!EA$11:EA$65*(Calculation!$BZ$11:$BZ$65=$B27)*IF($B$5=0,0,Calculation!$CC$11:$CC$65=$B$5))</f>
        <v>0</v>
      </c>
      <c r="Y27" s="967">
        <f>SUM($Q27:$X27)</f>
        <v>21.140410337914343</v>
      </c>
      <c r="Z27" s="877" cm="1">
        <f t="array" ref="Z27">SUMPRODUCT(Calculation!DQ$11:DQ$65*(Calculation!$CE$11:$CE$65&gt;0))</f>
        <v>0</v>
      </c>
      <c r="AA27" s="877" cm="1">
        <f t="array" ref="AA27">SUMPRODUCT(Calculation!DR$11:DR$65*(Calculation!$CE$11:$CE$65&gt;0))</f>
        <v>0</v>
      </c>
      <c r="AB27" s="877" cm="1">
        <f t="array" ref="AB27">SUMPRODUCT(Calculation!DS$11:DS$65*(Calculation!$CE$11:$CE$65&gt;0))</f>
        <v>0</v>
      </c>
      <c r="AC27" s="877" cm="1">
        <f t="array" ref="AC27">SUMPRODUCT(Calculation!DT$11:DT$65*(Calculation!$CE$11:$CE$65&gt;0))</f>
        <v>0</v>
      </c>
      <c r="AD27" s="877" cm="1">
        <f t="array" ref="AD27">SUMPRODUCT(Calculation!DU$11:DU$65*(Calculation!$CE$11:$CE$65&gt;0))</f>
        <v>0</v>
      </c>
      <c r="AE27" s="967">
        <f>IF(SUM($Z27:$AD27)=0,0,SUM($Y27:$AD27))</f>
        <v>0</v>
      </c>
      <c r="AF27" s="877" cm="1">
        <f t="array" ref="AF27">SUMPRODUCT(Calculation!DW$11:DW$65*(Calculation!$CE$11:$CE$65&gt;0))</f>
        <v>0</v>
      </c>
      <c r="AG27" s="877" cm="1">
        <f t="array" ref="AG27">SUMPRODUCT(Calculation!DX$11:DX$65*(Calculation!$CE$11:$CE$65&gt;0))</f>
        <v>0</v>
      </c>
      <c r="AH27" s="877" cm="1">
        <f t="array" ref="AH27">SUMPRODUCT(Calculation!DY$11:DY$65*(Calculation!$CE$11:$CE$65&gt;0))</f>
        <v>0</v>
      </c>
      <c r="AI27" s="877" cm="1">
        <f t="array" ref="AI27">SUMPRODUCT(Calculation!DZ$11:DZ$65*(Calculation!$CE$11:$CE$65&gt;0))</f>
        <v>0</v>
      </c>
      <c r="AJ27" s="877" cm="1">
        <f t="array" ref="AJ27">SUMPRODUCT(Calculation!EA$11:EA$65*(Calculation!$CE$11:$CE$65&gt;0))</f>
        <v>0</v>
      </c>
      <c r="AK27" s="967">
        <f>IF(SUM(ClusterSupplyChain[[Auss.7]:[Sonstige11]])=0,0,SUM($Y27:$AD27,$AF27:$AJ27))</f>
        <v>0</v>
      </c>
      <c r="AL27" s="278">
        <f>IF($B$5=0,$AK27,$Y27)</f>
        <v>0</v>
      </c>
    </row>
    <row r="28" spans="2:38">
      <c r="B28" s="945">
        <v>1</v>
      </c>
      <c r="C28" s="863" cm="1">
        <f t="array" ref="C28">SUMPRODUCT(Calculation!CV$11:CV$65*(Calculation!$BZ$11:$BZ$65=$B28)*IF($B$5=0,1,Calculation!$CA$11:$CA$65=$B$5))</f>
        <v>0.43000520680000837</v>
      </c>
      <c r="D28" s="863" cm="1">
        <f t="array" ref="D28">SUMPRODUCT(Calculation!CW$11:CW$65*(Calculation!$BZ$11:$BZ$65=$B28)*IF($B$5=0,1,Calculation!$CA$11:$CA$65=$B$5))</f>
        <v>6.7870461777733745E-2</v>
      </c>
      <c r="E28" s="863" cm="1">
        <f t="array" ref="E28">SUMPRODUCT(Calculation!CX$11:CX$65*(Calculation!$BZ$11:$BZ$65=$B28)*IF($B$5=0,1,Calculation!$CA$11:$CA$65=$B$5))</f>
        <v>0.45173990162037037</v>
      </c>
      <c r="F28" s="863" cm="1">
        <f t="array" ref="F28">SUMPRODUCT(Calculation!CY$11:CY$65*(Calculation!$BZ$11:$BZ$65=$B28)*IF($B$5=0,1,Calculation!$CA$11:$CA$65=$B$5))</f>
        <v>0</v>
      </c>
      <c r="G28" s="863" cm="1">
        <f t="array" ref="G28">SUMPRODUCT(Calculation!CZ$11:CZ$65*(Calculation!$BZ$11:$BZ$65=$B28)*IF($B$5=0,1,Calculation!$CA$11:$CA$65=$B$5))</f>
        <v>0</v>
      </c>
      <c r="H28" s="863" cm="1">
        <f t="array" ref="H28">SUMPRODUCT(Calculation!DA$11:DA$65*(Calculation!$BZ$11:$BZ$65=$B28)*IF($B$5=0,1,Calculation!$CA$11:$CA$65=$B$5))</f>
        <v>8.8174510842037885E-3</v>
      </c>
      <c r="I28" s="863" cm="1">
        <f t="array" ref="I28">SUMPRODUCT(Calculation!DB$11:DB$65*(Calculation!$BZ$11:$BZ$65=$B28)*IF($B$5=0,1,Calculation!$CA$11:$CA$65=$B$5))</f>
        <v>0.11842002359220592</v>
      </c>
      <c r="J28" s="876">
        <f>SUM($C28:$I28)</f>
        <v>1.0768530448745222</v>
      </c>
      <c r="K28" s="877" cm="1">
        <f t="array" ref="K28">SUMPRODUCT(Calculation!DD$11:DD$65*(Calculation!$BZ$11:$BZ$65=$B28)*IF($B$5=0,1,Calculation!$CA$11:$CA$65=$B$5))</f>
        <v>16.919265039471998</v>
      </c>
      <c r="L28" s="877" cm="1">
        <f t="array" ref="L28">SUMPRODUCT(Calculation!DP$11:DP$65*(Calculation!$BZ$11:$BZ$65=$B28)*IF($B$5=0,0,Calculation!$CB$11:$CB$65=$B$5))
+SUMPRODUCT(Calculation!DP$11:DU$65*(Calculation!$BZ$11:$BZ$65=$B28)*IF($B$5=0,0,Calculation!$CC$11:$CC$65=$B$5))</f>
        <v>0</v>
      </c>
      <c r="M28" s="863">
        <f>SUM($K28:$L28)</f>
        <v>16.919265039471998</v>
      </c>
      <c r="N28" s="863" cm="1">
        <f t="array" ref="N28">SUMPRODUCT(Calculation!DE$11:DE$65*(Calculation!$BZ$11:$BZ$65=$B28)*IF($B$5=0,1,Calculation!$CA$11:$CA$65=$B$5))
+SUMPRODUCT(Calculation!DQ$11:DQ$65*(Calculation!$BZ$11:$BZ$65=$B28)*IF($B$5=0,0,Calculation!$CB$11:$CB$65=$B$5))
+SUMPRODUCT(Calculation!DW$11:DW$65*(Calculation!$BZ$11:$BZ$65=$B28)*IF($B$5=0,0,Calculation!$CC$11:$CC$65=$B$5))</f>
        <v>0.16919265039472003</v>
      </c>
      <c r="O28" s="863" cm="1">
        <f t="array" ref="O28">SUMPRODUCT(Calculation!DF$11:DF$65*(Calculation!$BZ$11:$BZ$65=$B28)*IF($B$5=0,1,Calculation!$CA$11:$CA$65=$B$5))
+SUMPRODUCT(Calculation!DR$11:DR$65*(Calculation!$BZ$11:$BZ$65=$B28)*IF($B$5=0,0,Calculation!$CB$11:$CB$65=$B$5))
+SUMPRODUCT(Calculation!DX$11:DX$65*(Calculation!$BZ$11:$BZ$65=$B28)*IF($B$5=0,0,Calculation!$CC$11:$CC$65=$B$5))</f>
        <v>7.2920215283325707E-2</v>
      </c>
      <c r="P28" s="876">
        <f>SUM($M28:$O28)</f>
        <v>17.161377905150044</v>
      </c>
      <c r="Q28" s="878">
        <f>$J28+$P28</f>
        <v>18.238230950024565</v>
      </c>
      <c r="R28" s="863" cm="1">
        <f t="array" ref="R28">SUMPRODUCT(Calculation!DI$11:DI$65*(Calculation!$BZ$11:$BZ$65=$B28)*IF($B$5=0,1,Calculation!$CA$11:$CA$65=$B$5))</f>
        <v>0</v>
      </c>
      <c r="S28" s="863" cm="1">
        <f t="array" ref="S28">SUMPRODUCT(Calculation!DJ$11:DJ$65*(Calculation!$BZ$11:$BZ$65=$B28)*IF($B$5=0,1,Calculation!$CA$11:$CA$65=$B$5))
+(SUMPRODUCT(Calculation!DS$11:DS$65*(Calculation!$BZ$11:$BZ$65=$B28)*IF($B$5=0,0,Calculation!$CB$11:$CB$65=$B$5))
+SUMPRODUCT(Calculation!DY$11:DY$65*(Calculation!$BZ$11:$BZ$65=$B28)*IF($B$5=0,0,Calculation!$CC$11:$CC$65=$B$5)))*IF(INDEX(Settings[],MATCH(3001,Settings[ID],0),2)="B",1,0)</f>
        <v>0</v>
      </c>
      <c r="T28" s="863" cm="1">
        <f t="array" ref="T28">SUMPRODUCT(Calculation!DK$11:DK$65*(Calculation!$BZ$11:$BZ$65=$B28)*IF($B$5=0,1,Calculation!$CA$11:$CA$65=$B$5))
+(SUMPRODUCT(Calculation!DS$11:DS$65*(Calculation!$BZ$11:$BZ$65=$B28)*IF($B$5=0,0,Calculation!$CB$11:$CB$65=$B$5))
+SUMPRODUCT(Calculation!DY$11:DY$65*(Calculation!$BZ$11:$BZ$65=$B28)*IF($B$5=0,0,Calculation!$CC$11:$CC$65=$B$5)))*IF(INDEX(Settings[],MATCH(3001,Settings[ID],0),2)="B",0,1)</f>
        <v>1.8229413498940366</v>
      </c>
      <c r="U28" s="863" cm="1">
        <f t="array" ref="U28">SUMPRODUCT(Calculation!DL$11:DL$65*(Calculation!$BZ$11:$BZ$65=$B28)*IF($B$5=0,1,Calculation!$CA$11:$CA$65=$B$5))</f>
        <v>0</v>
      </c>
      <c r="V28" s="863" cm="1">
        <f t="array" ref="V28">SUMPRODUCT(Calculation!DM$11:DM$65*(Calculation!$BZ$11:$BZ$65=$B28)*IF($B$5=0,1,Calculation!$CA$11:$CA$65=$B$5))
+(SUMPRODUCT(Calculation!DT$11:DT$65*(Calculation!$BZ$11:$BZ$65=$B28)*IF($B$5=0,0,Calculation!$CB$11:$CB$65=$B$5))
+SUMPRODUCT(Calculation!DZ$11:DZ$65*(Calculation!$BZ$11:$BZ$65=$B28)*IF($B$5=0,0,Calculation!$CC$11:$CC$65=$B$5)))*IF(INDEX(Settings[],MATCH(3002,Settings[ID],0),2)="B",1,0)</f>
        <v>0</v>
      </c>
      <c r="W28" s="863" cm="1">
        <f t="array" ref="W28">SUMPRODUCT(Calculation!DN$11:DN$65*(Calculation!$BZ$11:$BZ$65=$B28)*IF($B$5=0,1,Calculation!$CA$11:$CA$65=$B$5))
+(SUMPRODUCT(Calculation!DT$11:DT$65*(Calculation!$BZ$11:$BZ$65=$B28)*IF($B$5=0,0,Calculation!$CB$11:$CB$65=$B$5))
+SUMPRODUCT(Calculation!DZ$11:DZ$65*(Calculation!$BZ$11:$BZ$65=$B28)*IF($B$5=0,0,Calculation!$CC$11:$CC$65=$B$5)))*IF(INDEX(Settings[],MATCH(3002,Settings[ID],0),2)="B",0,1)</f>
        <v>1.0792380379957391</v>
      </c>
      <c r="X28" s="863" cm="1">
        <f t="array" ref="X28">SUMPRODUCT(Calculation!DO$11:DO$65*(Calculation!$BZ$11:$BZ$65=$B28)*IF($B$5=0,1,Calculation!$CA$11:$CA$65=$B$5))
+SUMPRODUCT(Calculation!DU$11:DU$65*(Calculation!$BZ$11:$BZ$65=$B28)*IF($B$5=0,0,Calculation!$CB$11:$CB$65=$B$5))
+SUMPRODUCT(Calculation!EA$11:EA$65*(Calculation!$BZ$11:$BZ$65=$B28)*IF($B$5=0,0,Calculation!$CC$11:$CC$65=$B$5))</f>
        <v>0</v>
      </c>
      <c r="Y28" s="879">
        <f>SUM($Q28:$X28)</f>
        <v>21.140410337914343</v>
      </c>
      <c r="Z28" s="863" cm="1">
        <f t="array" ref="Z28">SUMPRODUCT(Calculation!DQ$11:DQ$65*(Calculation!$BZ$11:$BZ$65=$B28)*IF($B$5=0,1,0))</f>
        <v>0</v>
      </c>
      <c r="AA28" s="863" cm="1">
        <f t="array" ref="AA28">SUMPRODUCT(Calculation!DR$11:DR$65*(Calculation!$BZ$11:$BZ$65=$B28)*IF($B$5=0,1,0))</f>
        <v>0</v>
      </c>
      <c r="AB28" s="863" cm="1">
        <f t="array" ref="AB28">SUMPRODUCT(Calculation!DS$11:DS$65*(Calculation!$BZ$11:$BZ$65=$B28)*IF($B$5=0,1,0))</f>
        <v>0</v>
      </c>
      <c r="AC28" s="863" cm="1">
        <f t="array" ref="AC28">SUMPRODUCT(Calculation!DT$11:DT$65*(Calculation!$BZ$11:$BZ$65=$B28)*IF($B$5=0,1,0))</f>
        <v>0</v>
      </c>
      <c r="AD28" s="863" cm="1">
        <f t="array" ref="AD28">SUMPRODUCT(Calculation!DU$11:DU$65*(Calculation!$BZ$11:$BZ$65=$B28)*IF($B$5=0,1,0))</f>
        <v>0</v>
      </c>
      <c r="AE28" s="879">
        <f>IF(SUM($Z28:$AD28)=0,0,SUM($Y28:$AD28))</f>
        <v>0</v>
      </c>
      <c r="AF28" s="863" cm="1">
        <f t="array" ref="AF28">SUMPRODUCT(Calculation!DW$11:DW$65*(Calculation!$BZ$11:$BZ$65=$B28)*IF($B$5=0,1,0))</f>
        <v>0</v>
      </c>
      <c r="AG28" s="863" cm="1">
        <f t="array" ref="AG28">SUMPRODUCT(Calculation!DX$11:DX$65*(Calculation!$BZ$11:$BZ$65=$B28)*IF($B$5=0,1,0))</f>
        <v>0</v>
      </c>
      <c r="AH28" s="863" cm="1">
        <f t="array" ref="AH28">SUMPRODUCT(Calculation!DY$11:DY$65*(Calculation!$BZ$11:$BZ$65=$B28)*IF($B$5=0,1,0))</f>
        <v>0</v>
      </c>
      <c r="AI28" s="863" cm="1">
        <f t="array" ref="AI28">SUMPRODUCT(Calculation!DZ$11:DZ$65*(Calculation!$BZ$11:$BZ$65=$B28)*IF($B$5=0,1,0))</f>
        <v>0</v>
      </c>
      <c r="AJ28" s="863" cm="1">
        <f t="array" ref="AJ28">SUMPRODUCT(Calculation!EA$11:EA$65*(Calculation!$BZ$11:$BZ$65=$B28)*IF($B$5=0,1,0))</f>
        <v>0</v>
      </c>
      <c r="AK28" s="879">
        <f>IF(SUM(ClusterSupplyChain[[Auss.7]:[Sonstige11]])=0,0,SUM($Y28:$AD28,$AF28:$AJ28))</f>
        <v>0</v>
      </c>
      <c r="AL28" s="278">
        <f>IF($B$5=0,$AK28,$Y28)</f>
        <v>0</v>
      </c>
    </row>
    <row r="29" spans="2:38">
      <c r="B29" s="945" t="s">
        <v>2638</v>
      </c>
      <c r="C29" s="863" cm="1">
        <f t="array" ref="C29">SUMPRODUCT(Calculation!CV$11:CV$65*(Calculation!$BZ$11:$BZ$65=$B29)*IF($B$5=0,1,Calculation!$CA$11:$CA$65=$B$5))</f>
        <v>0</v>
      </c>
      <c r="D29" s="863" cm="1">
        <f t="array" ref="D29">SUMPRODUCT(Calculation!CW$11:CW$65*(Calculation!$BZ$11:$BZ$65=$B29)*IF($B$5=0,1,Calculation!$CA$11:$CA$65=$B$5))</f>
        <v>0</v>
      </c>
      <c r="E29" s="863" cm="1">
        <f t="array" ref="E29">SUMPRODUCT(Calculation!CX$11:CX$65*(Calculation!$BZ$11:$BZ$65=$B29)*IF($B$5=0,1,Calculation!$CA$11:$CA$65=$B$5))</f>
        <v>0</v>
      </c>
      <c r="F29" s="863" cm="1">
        <f t="array" ref="F29">SUMPRODUCT(Calculation!CY$11:CY$65*(Calculation!$BZ$11:$BZ$65=$B29)*IF($B$5=0,1,Calculation!$CA$11:$CA$65=$B$5))</f>
        <v>0</v>
      </c>
      <c r="G29" s="863" cm="1">
        <f t="array" ref="G29">SUMPRODUCT(Calculation!CZ$11:CZ$65*(Calculation!$BZ$11:$BZ$65=$B29)*IF($B$5=0,1,Calculation!$CA$11:$CA$65=$B$5))</f>
        <v>0</v>
      </c>
      <c r="H29" s="863" cm="1">
        <f t="array" ref="H29">SUMPRODUCT(Calculation!DA$11:DA$65*(Calculation!$BZ$11:$BZ$65=$B29)*IF($B$5=0,1,Calculation!$CA$11:$CA$65=$B$5))</f>
        <v>0</v>
      </c>
      <c r="I29" s="863" cm="1">
        <f t="array" ref="I29">SUMPRODUCT(Calculation!DB$11:DB$65*(Calculation!$BZ$11:$BZ$65=$B29)*IF($B$5=0,1,Calculation!$CA$11:$CA$65=$B$5))</f>
        <v>0</v>
      </c>
      <c r="J29" s="876">
        <f>SUM($C29:$I29)</f>
        <v>0</v>
      </c>
      <c r="K29" s="877" cm="1">
        <f t="array" ref="K29">SUMPRODUCT(Calculation!DD$11:DD$65*(Calculation!$BZ$11:$BZ$65=$B29)*IF($B$5=0,1,Calculation!$CA$11:$CA$65=$B$5))</f>
        <v>0</v>
      </c>
      <c r="L29" s="877" cm="1">
        <f t="array" ref="L29">SUMPRODUCT(Calculation!DP$11:DP$65*(Calculation!$BZ$11:$BZ$65=$B29)*IF($B$5=0,0,Calculation!$CB$11:$CB$65=$B$5))
+SUMPRODUCT(Calculation!DP$11:DU$65*(Calculation!$BZ$11:$BZ$65=$B29)*IF($B$5=0,0,Calculation!$CC$11:$CC$65=$B$5))</f>
        <v>0</v>
      </c>
      <c r="M29" s="863">
        <f>SUM($K29:$L29)</f>
        <v>0</v>
      </c>
      <c r="N29" s="863" cm="1">
        <f t="array" ref="N29">SUMPRODUCT(Calculation!DE$11:DE$65*(Calculation!$BZ$11:$BZ$65=$B29)*IF($B$5=0,1,Calculation!$CA$11:$CA$65=$B$5))
+SUMPRODUCT(Calculation!DQ$11:DQ$65*(Calculation!$BZ$11:$BZ$65=$B29)*IF($B$5=0,0,Calculation!$CB$11:$CB$65=$B$5))
+SUMPRODUCT(Calculation!DW$11:DW$65*(Calculation!$BZ$11:$BZ$65=$B29)*IF($B$5=0,0,Calculation!$CC$11:$CC$65=$B$5))</f>
        <v>0</v>
      </c>
      <c r="O29" s="863" cm="1">
        <f t="array" ref="O29">SUMPRODUCT(Calculation!DF$11:DF$65*(Calculation!$BZ$11:$BZ$65=$B29)*IF($B$5=0,1,Calculation!$CA$11:$CA$65=$B$5))
+SUMPRODUCT(Calculation!DR$11:DR$65*(Calculation!$BZ$11:$BZ$65=$B29)*IF($B$5=0,0,Calculation!$CB$11:$CB$65=$B$5))
+SUMPRODUCT(Calculation!DX$11:DX$65*(Calculation!$BZ$11:$BZ$65=$B29)*IF($B$5=0,0,Calculation!$CC$11:$CC$65=$B$5))</f>
        <v>0</v>
      </c>
      <c r="P29" s="876">
        <f>SUM($M29:$O29)</f>
        <v>0</v>
      </c>
      <c r="Q29" s="878">
        <f>$J29+$P29</f>
        <v>0</v>
      </c>
      <c r="R29" s="863" cm="1">
        <f t="array" ref="R29">SUMPRODUCT(Calculation!DI$11:DI$65*(Calculation!$BZ$11:$BZ$65=$B29)*IF($B$5=0,1,Calculation!$CA$11:$CA$65=$B$5))</f>
        <v>0</v>
      </c>
      <c r="S29" s="863" cm="1">
        <f t="array" ref="S29">SUMPRODUCT(Calculation!DJ$11:DJ$65*(Calculation!$BZ$11:$BZ$65=$B29)*IF($B$5=0,1,Calculation!$CA$11:$CA$65=$B$5))
+(SUMPRODUCT(Calculation!DS$11:DS$65*(Calculation!$BZ$11:$BZ$65=$B29)*IF($B$5=0,0,Calculation!$CB$11:$CB$65=$B$5))
+SUMPRODUCT(Calculation!DY$11:DY$65*(Calculation!$BZ$11:$BZ$65=$B29)*IF($B$5=0,0,Calculation!$CC$11:$CC$65=$B$5)))*IF(INDEX(Settings[],MATCH(3001,Settings[ID],0),2)="B",1,0)</f>
        <v>0</v>
      </c>
      <c r="T29" s="863" cm="1">
        <f t="array" ref="T29">SUMPRODUCT(Calculation!DK$11:DK$65*(Calculation!$BZ$11:$BZ$65=$B29)*IF($B$5=0,1,Calculation!$CA$11:$CA$65=$B$5))
+(SUMPRODUCT(Calculation!DS$11:DS$65*(Calculation!$BZ$11:$BZ$65=$B29)*IF($B$5=0,0,Calculation!$CB$11:$CB$65=$B$5))
+SUMPRODUCT(Calculation!DY$11:DY$65*(Calculation!$BZ$11:$BZ$65=$B29)*IF($B$5=0,0,Calculation!$CC$11:$CC$65=$B$5)))*IF(INDEX(Settings[],MATCH(3001,Settings[ID],0),2)="B",0,1)</f>
        <v>0</v>
      </c>
      <c r="U29" s="863" cm="1">
        <f t="array" ref="U29">SUMPRODUCT(Calculation!DL$11:DL$65*(Calculation!$BZ$11:$BZ$65=$B29)*IF($B$5=0,1,Calculation!$CA$11:$CA$65=$B$5))</f>
        <v>0</v>
      </c>
      <c r="V29" s="863" cm="1">
        <f t="array" ref="V29">SUMPRODUCT(Calculation!DM$11:DM$65*(Calculation!$BZ$11:$BZ$65=$B29)*IF($B$5=0,1,Calculation!$CA$11:$CA$65=$B$5))
+(SUMPRODUCT(Calculation!DT$11:DT$65*(Calculation!$BZ$11:$BZ$65=$B29)*IF($B$5=0,0,Calculation!$CB$11:$CB$65=$B$5))
+SUMPRODUCT(Calculation!DZ$11:DZ$65*(Calculation!$BZ$11:$BZ$65=$B29)*IF($B$5=0,0,Calculation!$CC$11:$CC$65=$B$5)))*IF(INDEX(Settings[],MATCH(3002,Settings[ID],0),2)="B",1,0)</f>
        <v>0</v>
      </c>
      <c r="W29" s="863" cm="1">
        <f t="array" ref="W29">SUMPRODUCT(Calculation!DN$11:DN$65*(Calculation!$BZ$11:$BZ$65=$B29)*IF($B$5=0,1,Calculation!$CA$11:$CA$65=$B$5))
+(SUMPRODUCT(Calculation!DT$11:DT$65*(Calculation!$BZ$11:$BZ$65=$B29)*IF($B$5=0,0,Calculation!$CB$11:$CB$65=$B$5))
+SUMPRODUCT(Calculation!DZ$11:DZ$65*(Calculation!$BZ$11:$BZ$65=$B29)*IF($B$5=0,0,Calculation!$CC$11:$CC$65=$B$5)))*IF(INDEX(Settings[],MATCH(3002,Settings[ID],0),2)="B",0,1)</f>
        <v>0</v>
      </c>
      <c r="X29" s="863" cm="1">
        <f t="array" ref="X29">SUMPRODUCT(Calculation!DO$11:DO$65*(Calculation!$BZ$11:$BZ$65=$B29)*IF($B$5=0,1,Calculation!$CA$11:$CA$65=$B$5))
+SUMPRODUCT(Calculation!DU$11:DU$65*(Calculation!$BZ$11:$BZ$65=$B29)*IF($B$5=0,0,Calculation!$CB$11:$CB$65=$B$5))
+SUMPRODUCT(Calculation!EA$11:EA$65*(Calculation!$BZ$11:$BZ$65=$B29)*IF($B$5=0,0,Calculation!$CC$11:$CC$65=$B$5))</f>
        <v>0</v>
      </c>
      <c r="Y29" s="879">
        <f>SUM($Q29:$X29)</f>
        <v>0</v>
      </c>
      <c r="Z29" s="863" cm="1">
        <f t="array" ref="Z29">SUMPRODUCT(Calculation!DQ$11:DQ$65*(Calculation!$BZ$11:$BZ$65=$B29)*IF($B$5=0,1,0))</f>
        <v>0</v>
      </c>
      <c r="AA29" s="863" cm="1">
        <f t="array" ref="AA29">SUMPRODUCT(Calculation!DR$11:DR$65*(Calculation!$BZ$11:$BZ$65=$B29)*IF($B$5=0,1,0))</f>
        <v>0</v>
      </c>
      <c r="AB29" s="863" cm="1">
        <f t="array" ref="AB29">SUMPRODUCT(Calculation!DS$11:DS$65*(Calculation!$BZ$11:$BZ$65=$B29)*IF($B$5=0,1,0))</f>
        <v>0</v>
      </c>
      <c r="AC29" s="863" cm="1">
        <f t="array" ref="AC29">SUMPRODUCT(Calculation!DT$11:DT$65*(Calculation!$BZ$11:$BZ$65=$B29)*IF($B$5=0,1,0))</f>
        <v>0</v>
      </c>
      <c r="AD29" s="863" cm="1">
        <f t="array" ref="AD29">SUMPRODUCT(Calculation!DU$11:DU$65*(Calculation!$BZ$11:$BZ$65=$B29)*IF($B$5=0,1,0))</f>
        <v>0</v>
      </c>
      <c r="AE29" s="879">
        <f>IF(SUM($Z29:$AD29)=0,0,SUM($Y29:$AD29))</f>
        <v>0</v>
      </c>
      <c r="AF29" s="863" cm="1">
        <f t="array" ref="AF29">SUMPRODUCT(Calculation!DW$11:DW$65*(Calculation!$BZ$11:$BZ$65=$B29)*IF($B$5=0,1,0))</f>
        <v>0</v>
      </c>
      <c r="AG29" s="863" cm="1">
        <f t="array" ref="AG29">SUMPRODUCT(Calculation!DX$11:DX$65*(Calculation!$BZ$11:$BZ$65=$B29)*IF($B$5=0,1,0))</f>
        <v>0</v>
      </c>
      <c r="AH29" s="863" cm="1">
        <f t="array" ref="AH29">SUMPRODUCT(Calculation!DY$11:DY$65*(Calculation!$BZ$11:$BZ$65=$B29)*IF($B$5=0,1,0))</f>
        <v>0</v>
      </c>
      <c r="AI29" s="863" cm="1">
        <f t="array" ref="AI29">SUMPRODUCT(Calculation!DZ$11:DZ$65*(Calculation!$BZ$11:$BZ$65=$B29)*IF($B$5=0,1,0))</f>
        <v>0</v>
      </c>
      <c r="AJ29" s="863" cm="1">
        <f t="array" ref="AJ29">SUMPRODUCT(Calculation!EA$11:EA$65*(Calculation!$BZ$11:$BZ$65=$B29)*IF($B$5=0,1,0))</f>
        <v>0</v>
      </c>
      <c r="AK29" s="879">
        <f>IF(SUM(ClusterSupplyChain[[Auss.7]:[Sonstige11]])=0,0,SUM($Y29:$AD29,$AF29:$AJ29))</f>
        <v>0</v>
      </c>
      <c r="AL29" s="278">
        <f>IF($B$5=0,$AK29,$Y29)</f>
        <v>0</v>
      </c>
    </row>
    <row r="30" spans="2:38">
      <c r="B30" s="945" t="s">
        <v>2639</v>
      </c>
      <c r="C30" s="863" cm="1">
        <f t="array" ref="C30">SUMPRODUCT(Calculation!CV$11:CV$65*(Calculation!$BZ$11:$BZ$65=$B30)*IF($B$5=0,1,Calculation!$CA$11:$CA$65=$B$5))</f>
        <v>0</v>
      </c>
      <c r="D30" s="863" cm="1">
        <f t="array" ref="D30">SUMPRODUCT(Calculation!CW$11:CW$65*(Calculation!$BZ$11:$BZ$65=$B30)*IF($B$5=0,1,Calculation!$CA$11:$CA$65=$B$5))</f>
        <v>0</v>
      </c>
      <c r="E30" s="863" cm="1">
        <f t="array" ref="E30">SUMPRODUCT(Calculation!CX$11:CX$65*(Calculation!$BZ$11:$BZ$65=$B30)*IF($B$5=0,1,Calculation!$CA$11:$CA$65=$B$5))</f>
        <v>0</v>
      </c>
      <c r="F30" s="863" cm="1">
        <f t="array" ref="F30">SUMPRODUCT(Calculation!CY$11:CY$65*(Calculation!$BZ$11:$BZ$65=$B30)*IF($B$5=0,1,Calculation!$CA$11:$CA$65=$B$5))</f>
        <v>0</v>
      </c>
      <c r="G30" s="863" cm="1">
        <f t="array" ref="G30">SUMPRODUCT(Calculation!CZ$11:CZ$65*(Calculation!$BZ$11:$BZ$65=$B30)*IF($B$5=0,1,Calculation!$CA$11:$CA$65=$B$5))</f>
        <v>0</v>
      </c>
      <c r="H30" s="863" cm="1">
        <f t="array" ref="H30">SUMPRODUCT(Calculation!DA$11:DA$65*(Calculation!$BZ$11:$BZ$65=$B30)*IF($B$5=0,1,Calculation!$CA$11:$CA$65=$B$5))</f>
        <v>0</v>
      </c>
      <c r="I30" s="863" cm="1">
        <f t="array" ref="I30">SUMPRODUCT(Calculation!DB$11:DB$65*(Calculation!$BZ$11:$BZ$65=$B30)*IF($B$5=0,1,Calculation!$CA$11:$CA$65=$B$5))</f>
        <v>0</v>
      </c>
      <c r="J30" s="876">
        <f>SUM($C30:$I30)</f>
        <v>0</v>
      </c>
      <c r="K30" s="877" cm="1">
        <f t="array" ref="K30">SUMPRODUCT(Calculation!DD$11:DD$65*(Calculation!$BZ$11:$BZ$65=$B30)*IF($B$5=0,1,Calculation!$CA$11:$CA$65=$B$5))</f>
        <v>0</v>
      </c>
      <c r="L30" s="877" cm="1">
        <f t="array" ref="L30">SUMPRODUCT(Calculation!DP$11:DP$65*(Calculation!$BZ$11:$BZ$65=$B30)*IF($B$5=0,0,Calculation!$CB$11:$CB$65=$B$5))
+SUMPRODUCT(Calculation!DP$11:DU$65*(Calculation!$BZ$11:$BZ$65=$B30)*IF($B$5=0,0,Calculation!$CC$11:$CC$65=$B$5))</f>
        <v>0</v>
      </c>
      <c r="M30" s="863">
        <f>SUM($K30:$L30)</f>
        <v>0</v>
      </c>
      <c r="N30" s="863" cm="1">
        <f t="array" ref="N30">SUMPRODUCT(Calculation!DE$11:DE$65*(Calculation!$BZ$11:$BZ$65=$B30)*IF($B$5=0,1,Calculation!$CA$11:$CA$65=$B$5))
+SUMPRODUCT(Calculation!DQ$11:DQ$65*(Calculation!$BZ$11:$BZ$65=$B30)*IF($B$5=0,0,Calculation!$CB$11:$CB$65=$B$5))
+SUMPRODUCT(Calculation!DW$11:DW$65*(Calculation!$BZ$11:$BZ$65=$B30)*IF($B$5=0,0,Calculation!$CC$11:$CC$65=$B$5))</f>
        <v>0</v>
      </c>
      <c r="O30" s="863" cm="1">
        <f t="array" ref="O30">SUMPRODUCT(Calculation!DF$11:DF$65*(Calculation!$BZ$11:$BZ$65=$B30)*IF($B$5=0,1,Calculation!$CA$11:$CA$65=$B$5))
+SUMPRODUCT(Calculation!DR$11:DR$65*(Calculation!$BZ$11:$BZ$65=$B30)*IF($B$5=0,0,Calculation!$CB$11:$CB$65=$B$5))
+SUMPRODUCT(Calculation!DX$11:DX$65*(Calculation!$BZ$11:$BZ$65=$B30)*IF($B$5=0,0,Calculation!$CC$11:$CC$65=$B$5))</f>
        <v>0</v>
      </c>
      <c r="P30" s="876">
        <f>SUM($M30:$O30)</f>
        <v>0</v>
      </c>
      <c r="Q30" s="878">
        <f>$J30+$P30</f>
        <v>0</v>
      </c>
      <c r="R30" s="863" cm="1">
        <f t="array" ref="R30">SUMPRODUCT(Calculation!DI$11:DI$65*(Calculation!$BZ$11:$BZ$65=$B30)*IF($B$5=0,1,Calculation!$CA$11:$CA$65=$B$5))</f>
        <v>0</v>
      </c>
      <c r="S30" s="863" cm="1">
        <f t="array" ref="S30">SUMPRODUCT(Calculation!DJ$11:DJ$65*(Calculation!$BZ$11:$BZ$65=$B30)*IF($B$5=0,1,Calculation!$CA$11:$CA$65=$B$5))
+(SUMPRODUCT(Calculation!DS$11:DS$65*(Calculation!$BZ$11:$BZ$65=$B30)*IF($B$5=0,0,Calculation!$CB$11:$CB$65=$B$5))
+SUMPRODUCT(Calculation!DY$11:DY$65*(Calculation!$BZ$11:$BZ$65=$B30)*IF($B$5=0,0,Calculation!$CC$11:$CC$65=$B$5)))*IF(INDEX(Settings[],MATCH(3001,Settings[ID],0),2)="B",1,0)</f>
        <v>0</v>
      </c>
      <c r="T30" s="863" cm="1">
        <f t="array" ref="T30">SUMPRODUCT(Calculation!DK$11:DK$65*(Calculation!$BZ$11:$BZ$65=$B30)*IF($B$5=0,1,Calculation!$CA$11:$CA$65=$B$5))
+(SUMPRODUCT(Calculation!DS$11:DS$65*(Calculation!$BZ$11:$BZ$65=$B30)*IF($B$5=0,0,Calculation!$CB$11:$CB$65=$B$5))
+SUMPRODUCT(Calculation!DY$11:DY$65*(Calculation!$BZ$11:$BZ$65=$B30)*IF($B$5=0,0,Calculation!$CC$11:$CC$65=$B$5)))*IF(INDEX(Settings[],MATCH(3001,Settings[ID],0),2)="B",0,1)</f>
        <v>0</v>
      </c>
      <c r="U30" s="863" cm="1">
        <f t="array" ref="U30">SUMPRODUCT(Calculation!DL$11:DL$65*(Calculation!$BZ$11:$BZ$65=$B30)*IF($B$5=0,1,Calculation!$CA$11:$CA$65=$B$5))</f>
        <v>0</v>
      </c>
      <c r="V30" s="863" cm="1">
        <f t="array" ref="V30">SUMPRODUCT(Calculation!DM$11:DM$65*(Calculation!$BZ$11:$BZ$65=$B30)*IF($B$5=0,1,Calculation!$CA$11:$CA$65=$B$5))
+(SUMPRODUCT(Calculation!DT$11:DT$65*(Calculation!$BZ$11:$BZ$65=$B30)*IF($B$5=0,0,Calculation!$CB$11:$CB$65=$B$5))
+SUMPRODUCT(Calculation!DZ$11:DZ$65*(Calculation!$BZ$11:$BZ$65=$B30)*IF($B$5=0,0,Calculation!$CC$11:$CC$65=$B$5)))*IF(INDEX(Settings[],MATCH(3002,Settings[ID],0),2)="B",1,0)</f>
        <v>0</v>
      </c>
      <c r="W30" s="863" cm="1">
        <f t="array" ref="W30">SUMPRODUCT(Calculation!DN$11:DN$65*(Calculation!$BZ$11:$BZ$65=$B30)*IF($B$5=0,1,Calculation!$CA$11:$CA$65=$B$5))
+(SUMPRODUCT(Calculation!DT$11:DT$65*(Calculation!$BZ$11:$BZ$65=$B30)*IF($B$5=0,0,Calculation!$CB$11:$CB$65=$B$5))
+SUMPRODUCT(Calculation!DZ$11:DZ$65*(Calculation!$BZ$11:$BZ$65=$B30)*IF($B$5=0,0,Calculation!$CC$11:$CC$65=$B$5)))*IF(INDEX(Settings[],MATCH(3002,Settings[ID],0),2)="B",0,1)</f>
        <v>0</v>
      </c>
      <c r="X30" s="863" cm="1">
        <f t="array" ref="X30">SUMPRODUCT(Calculation!DO$11:DO$65*(Calculation!$BZ$11:$BZ$65=$B30)*IF($B$5=0,1,Calculation!$CA$11:$CA$65=$B$5))
+SUMPRODUCT(Calculation!DU$11:DU$65*(Calculation!$BZ$11:$BZ$65=$B30)*IF($B$5=0,0,Calculation!$CB$11:$CB$65=$B$5))
+SUMPRODUCT(Calculation!EA$11:EA$65*(Calculation!$BZ$11:$BZ$65=$B30)*IF($B$5=0,0,Calculation!$CC$11:$CC$65=$B$5))</f>
        <v>0</v>
      </c>
      <c r="Y30" s="879">
        <f>SUM($Q30:$X30)</f>
        <v>0</v>
      </c>
      <c r="Z30" s="863" cm="1">
        <f t="array" ref="Z30">SUMPRODUCT(Calculation!DQ$11:DQ$65*(Calculation!$BZ$11:$BZ$65=$B30)*IF($B$5=0,1,0))</f>
        <v>0</v>
      </c>
      <c r="AA30" s="863" cm="1">
        <f t="array" ref="AA30">SUMPRODUCT(Calculation!DR$11:DR$65*(Calculation!$BZ$11:$BZ$65=$B30)*IF($B$5=0,1,0))</f>
        <v>0</v>
      </c>
      <c r="AB30" s="863" cm="1">
        <f t="array" ref="AB30">SUMPRODUCT(Calculation!DS$11:DS$65*(Calculation!$BZ$11:$BZ$65=$B30)*IF($B$5=0,1,0))</f>
        <v>0</v>
      </c>
      <c r="AC30" s="863" cm="1">
        <f t="array" ref="AC30">SUMPRODUCT(Calculation!DT$11:DT$65*(Calculation!$BZ$11:$BZ$65=$B30)*IF($B$5=0,1,0))</f>
        <v>0</v>
      </c>
      <c r="AD30" s="863" cm="1">
        <f t="array" ref="AD30">SUMPRODUCT(Calculation!DU$11:DU$65*(Calculation!$BZ$11:$BZ$65=$B30)*IF($B$5=0,1,0))</f>
        <v>0</v>
      </c>
      <c r="AE30" s="879">
        <f>IF(SUM($Z30:$AD30)=0,0,SUM($Y30:$AD30))</f>
        <v>0</v>
      </c>
      <c r="AF30" s="863" cm="1">
        <f t="array" ref="AF30">SUMPRODUCT(Calculation!DW$11:DW$65*(Calculation!$BZ$11:$BZ$65=$B30)*IF($B$5=0,1,0))</f>
        <v>0</v>
      </c>
      <c r="AG30" s="863" cm="1">
        <f t="array" ref="AG30">SUMPRODUCT(Calculation!DX$11:DX$65*(Calculation!$BZ$11:$BZ$65=$B30)*IF($B$5=0,1,0))</f>
        <v>0</v>
      </c>
      <c r="AH30" s="863" cm="1">
        <f t="array" ref="AH30">SUMPRODUCT(Calculation!DY$11:DY$65*(Calculation!$BZ$11:$BZ$65=$B30)*IF($B$5=0,1,0))</f>
        <v>0</v>
      </c>
      <c r="AI30" s="863" cm="1">
        <f t="array" ref="AI30">SUMPRODUCT(Calculation!DZ$11:DZ$65*(Calculation!$BZ$11:$BZ$65=$B30)*IF($B$5=0,1,0))</f>
        <v>0</v>
      </c>
      <c r="AJ30" s="863" cm="1">
        <f t="array" ref="AJ30">SUMPRODUCT(Calculation!EA$11:EA$65*(Calculation!$BZ$11:$BZ$65=$B30)*IF($B$5=0,1,0))</f>
        <v>0</v>
      </c>
      <c r="AK30" s="879">
        <f>IF(SUM(ClusterSupplyChain[[Auss.7]:[Sonstige11]])=0,0,SUM($Y30:$AD30,$AF30:$AJ30))</f>
        <v>0</v>
      </c>
      <c r="AL30" s="278">
        <f>IF($B$5=0,$AK30,$Y30)</f>
        <v>0</v>
      </c>
    </row>
    <row r="32" spans="2:38">
      <c r="D32" s="309"/>
      <c r="F32" s="309"/>
      <c r="H32" s="309"/>
      <c r="J32" s="309"/>
      <c r="L32" s="309"/>
      <c r="N32" s="309"/>
      <c r="P32" s="309"/>
      <c r="R32" s="309"/>
      <c r="S32" s="295"/>
      <c r="T32" s="309"/>
      <c r="U32" s="295"/>
      <c r="V32" s="309"/>
      <c r="W32" s="295"/>
      <c r="X32" s="309"/>
      <c r="Y32" s="295"/>
      <c r="Z32" s="309"/>
      <c r="AA32" s="295"/>
      <c r="AB32" s="309"/>
      <c r="AC32" s="295"/>
      <c r="AD32" s="309"/>
      <c r="AE32" s="295"/>
      <c r="AF32" s="309"/>
      <c r="AG32" s="295"/>
      <c r="AH32" s="309"/>
      <c r="AI32" s="295"/>
      <c r="AJ32" s="309"/>
      <c r="AK32" s="295"/>
    </row>
  </sheetData>
  <mergeCells count="4">
    <mergeCell ref="C4:Y4"/>
    <mergeCell ref="Z4:AE4"/>
    <mergeCell ref="AF4:AK4"/>
    <mergeCell ref="B2:AK2"/>
  </mergeCells>
  <phoneticPr fontId="40" type="noConversion"/>
  <conditionalFormatting sqref="AL8:AL10">
    <cfRule type="dataBar" priority="1677">
      <dataBar showValue="0">
        <cfvo type="min"/>
        <cfvo type="max"/>
        <color theme="8"/>
      </dataBar>
      <extLst>
        <ext xmlns:x14="http://schemas.microsoft.com/office/spreadsheetml/2009/9/main" uri="{B025F937-C7B1-47D3-B67F-A62EFF666E3E}">
          <x14:id>{155F255E-BE83-47CF-A38B-7AF3EDB48214}</x14:id>
        </ext>
      </extLst>
    </cfRule>
  </conditionalFormatting>
  <conditionalFormatting sqref="Z5:AK5 Z4 AF4">
    <cfRule type="expression" dxfId="1359" priority="6">
      <formula>$B$5&gt;0</formula>
    </cfRule>
  </conditionalFormatting>
  <conditionalFormatting sqref="AL13:AL17">
    <cfRule type="dataBar" priority="4">
      <dataBar showValue="0">
        <cfvo type="min"/>
        <cfvo type="max"/>
        <color theme="8"/>
      </dataBar>
      <extLst>
        <ext xmlns:x14="http://schemas.microsoft.com/office/spreadsheetml/2009/9/main" uri="{B025F937-C7B1-47D3-B67F-A62EFF666E3E}">
          <x14:id>{A3CBD2A7-9CCF-4CA7-982D-4F2A164D05B3}</x14:id>
        </ext>
      </extLst>
    </cfRule>
  </conditionalFormatting>
  <conditionalFormatting sqref="AL20:AL22">
    <cfRule type="dataBar" priority="3">
      <dataBar showValue="0">
        <cfvo type="min"/>
        <cfvo type="max"/>
        <color theme="8"/>
      </dataBar>
      <extLst>
        <ext xmlns:x14="http://schemas.microsoft.com/office/spreadsheetml/2009/9/main" uri="{B025F937-C7B1-47D3-B67F-A62EFF666E3E}">
          <x14:id>{8336F426-AE90-47DA-9D47-D5C2F08D0AF0}</x14:id>
        </ext>
      </extLst>
    </cfRule>
  </conditionalFormatting>
  <conditionalFormatting sqref="AL28:AL30">
    <cfRule type="dataBar" priority="2">
      <dataBar showValue="0">
        <cfvo type="min"/>
        <cfvo type="max"/>
        <color theme="8"/>
      </dataBar>
      <extLst>
        <ext xmlns:x14="http://schemas.microsoft.com/office/spreadsheetml/2009/9/main" uri="{B025F937-C7B1-47D3-B67F-A62EFF666E3E}">
          <x14:id>{AFAAA8DA-EC3A-46C2-8FA3-0EBA47DE6C2A}</x14:id>
        </ext>
      </extLst>
    </cfRule>
  </conditionalFormatting>
  <conditionalFormatting sqref="AL27">
    <cfRule type="dataBar" priority="1">
      <dataBar showValue="0">
        <cfvo type="min"/>
        <cfvo type="max"/>
        <color theme="8"/>
      </dataBar>
      <extLst>
        <ext xmlns:x14="http://schemas.microsoft.com/office/spreadsheetml/2009/9/main" uri="{B025F937-C7B1-47D3-B67F-A62EFF666E3E}">
          <x14:id>{6E8BC6E4-7934-4732-A287-617D8BFCF6AD}</x14:id>
        </ext>
      </extLst>
    </cfRule>
  </conditionalFormatting>
  <dataValidations count="1">
    <dataValidation type="list" allowBlank="1" showInputMessage="1" showErrorMessage="1" sqref="B5" xr:uid="{326690F3-2651-40AE-AA69-2684516FF3AB}">
      <formula1>Premises_Dropdown</formula1>
    </dataValidation>
  </dataValidations>
  <pageMargins left="0.7" right="0.7" top="0.78740157499999996" bottom="0.78740157499999996" header="0.3" footer="0.3"/>
  <pageSetup paperSize="9" orientation="landscape"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dataBar" id="{155F255E-BE83-47CF-A38B-7AF3EDB48214}">
            <x14:dataBar minLength="0" maxLength="100" gradient="0">
              <x14:cfvo type="autoMin"/>
              <x14:cfvo type="autoMax"/>
              <x14:negativeFillColor rgb="FFFF0000"/>
              <x14:axisColor rgb="FF000000"/>
            </x14:dataBar>
          </x14:cfRule>
          <xm:sqref>AL8:AL10</xm:sqref>
        </x14:conditionalFormatting>
        <x14:conditionalFormatting xmlns:xm="http://schemas.microsoft.com/office/excel/2006/main">
          <x14:cfRule type="dataBar" id="{A3CBD2A7-9CCF-4CA7-982D-4F2A164D05B3}">
            <x14:dataBar minLength="0" maxLength="100" gradient="0">
              <x14:cfvo type="autoMin"/>
              <x14:cfvo type="autoMax"/>
              <x14:negativeFillColor rgb="FFFF0000"/>
              <x14:axisColor rgb="FF000000"/>
            </x14:dataBar>
          </x14:cfRule>
          <xm:sqref>AL13:AL17</xm:sqref>
        </x14:conditionalFormatting>
        <x14:conditionalFormatting xmlns:xm="http://schemas.microsoft.com/office/excel/2006/main">
          <x14:cfRule type="dataBar" id="{8336F426-AE90-47DA-9D47-D5C2F08D0AF0}">
            <x14:dataBar minLength="0" maxLength="100" gradient="0">
              <x14:cfvo type="autoMin"/>
              <x14:cfvo type="autoMax"/>
              <x14:negativeFillColor rgb="FFFF0000"/>
              <x14:axisColor rgb="FF000000"/>
            </x14:dataBar>
          </x14:cfRule>
          <xm:sqref>AL20:AL22</xm:sqref>
        </x14:conditionalFormatting>
        <x14:conditionalFormatting xmlns:xm="http://schemas.microsoft.com/office/excel/2006/main">
          <x14:cfRule type="dataBar" id="{AFAAA8DA-EC3A-46C2-8FA3-0EBA47DE6C2A}">
            <x14:dataBar minLength="0" maxLength="100" gradient="0">
              <x14:cfvo type="autoMin"/>
              <x14:cfvo type="autoMax"/>
              <x14:negativeFillColor rgb="FFFF0000"/>
              <x14:axisColor rgb="FF000000"/>
            </x14:dataBar>
          </x14:cfRule>
          <xm:sqref>AL28:AL30</xm:sqref>
        </x14:conditionalFormatting>
        <x14:conditionalFormatting xmlns:xm="http://schemas.microsoft.com/office/excel/2006/main">
          <x14:cfRule type="dataBar" id="{6E8BC6E4-7934-4732-A287-617D8BFCF6AD}">
            <x14:dataBar minLength="0" maxLength="100" gradient="0">
              <x14:cfvo type="autoMin"/>
              <x14:cfvo type="autoMax"/>
              <x14:negativeFillColor rgb="FFFF0000"/>
              <x14:axisColor rgb="FF000000"/>
            </x14:dataBar>
          </x14:cfRule>
          <xm:sqref>AL27</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MHR">
    <outlinePr summaryBelow="0" summaryRight="0"/>
  </sheetPr>
  <dimension ref="B1:AY13"/>
  <sheetViews>
    <sheetView showGridLines="0" showZeros="0" zoomScaleNormal="100" workbookViewId="0">
      <pane xSplit="3" ySplit="6" topLeftCell="D7" activePane="bottomRight" state="frozen"/>
      <selection activeCell="D355" sqref="D355"/>
      <selection pane="topRight" activeCell="D355" sqref="D355"/>
      <selection pane="bottomLeft" activeCell="D355" sqref="D355"/>
      <selection pane="bottomRight" activeCell="B12" sqref="B12"/>
    </sheetView>
  </sheetViews>
  <sheetFormatPr baseColWidth="10" defaultColWidth="8.7109375" defaultRowHeight="12.75" outlineLevelCol="1"/>
  <cols>
    <col min="1" max="1" width="1.7109375" style="5" customWidth="1"/>
    <col min="2" max="2" width="64.7109375" style="5" customWidth="1"/>
    <col min="3" max="3" width="9.7109375" style="5" customWidth="1"/>
    <col min="4" max="4" width="6.7109375" style="175" customWidth="1"/>
    <col min="5" max="5" width="6.7109375" style="5" customWidth="1"/>
    <col min="6" max="6" width="3.7109375" style="4" customWidth="1"/>
    <col min="7" max="7" width="6.7109375" style="4" customWidth="1"/>
    <col min="8" max="8" width="3.7109375" style="4" customWidth="1"/>
    <col min="9" max="9" width="6.7109375" style="175" customWidth="1"/>
    <col min="10" max="11" width="6.7109375" style="176" customWidth="1"/>
    <col min="12" max="13" width="6.7109375" style="4" customWidth="1"/>
    <col min="14" max="14" width="6.7109375" style="5" customWidth="1"/>
    <col min="15" max="15" width="6.7109375" style="175" customWidth="1"/>
    <col min="16" max="16" width="9.7109375" style="175" customWidth="1"/>
    <col min="17" max="17" width="6.7109375" style="175" customWidth="1"/>
    <col min="18" max="18" width="6.5703125" style="175" customWidth="1"/>
    <col min="19" max="20" width="1.7109375" style="175" customWidth="1"/>
    <col min="21" max="21" width="9.7109375" style="175" customWidth="1" collapsed="1"/>
    <col min="22" max="23" width="6.7109375" style="177" hidden="1" customWidth="1" outlineLevel="1"/>
    <col min="24" max="24" width="6.7109375" style="175" hidden="1" customWidth="1" outlineLevel="1" collapsed="1"/>
    <col min="25" max="32" width="6.7109375" style="175" hidden="1" customWidth="1" outlineLevel="1"/>
    <col min="33" max="34" width="6.7109375" style="178" hidden="1" customWidth="1" outlineLevel="1"/>
    <col min="35" max="35" width="6.7109375" style="175" hidden="1" customWidth="1" outlineLevel="1"/>
    <col min="36" max="36" width="9.7109375" style="175" hidden="1" customWidth="1" outlineLevel="1"/>
    <col min="37" max="37" width="2.7109375" style="175" hidden="1" customWidth="1" outlineLevel="1"/>
    <col min="38" max="38" width="2.7109375" style="175" hidden="1" customWidth="1"/>
    <col min="39" max="39" width="6.7109375" style="175" customWidth="1" collapsed="1"/>
    <col min="40" max="40" width="6.7109375" style="5" hidden="1" customWidth="1" outlineLevel="1"/>
    <col min="41" max="44" width="6.7109375" style="175" hidden="1" customWidth="1" outlineLevel="1"/>
    <col min="45" max="45" width="6.7109375" style="175" hidden="1" customWidth="1" outlineLevel="1" collapsed="1"/>
    <col min="46" max="48" width="6.7109375" style="5" hidden="1" customWidth="1" outlineLevel="1"/>
    <col min="49" max="49" width="6.7109375" style="179" hidden="1" customWidth="1" outlineLevel="1"/>
    <col min="50" max="50" width="6.7109375" style="179" customWidth="1"/>
    <col min="51" max="51" width="2.7109375" style="5" customWidth="1"/>
    <col min="52" max="52" width="0.140625" style="5" customWidth="1"/>
    <col min="53" max="16384" width="8.7109375" style="5"/>
  </cols>
  <sheetData>
    <row r="1" spans="2:51" ht="5.0999999999999996" customHeight="1"/>
    <row r="2" spans="2:51" ht="25.5" customHeight="1">
      <c r="B2" s="1300" t="s">
        <v>588</v>
      </c>
      <c r="C2" s="1301"/>
      <c r="D2" s="1301"/>
      <c r="E2" s="1301"/>
      <c r="F2" s="1301"/>
      <c r="G2" s="1301"/>
      <c r="H2" s="1301"/>
      <c r="I2" s="1301"/>
      <c r="J2" s="1301"/>
      <c r="K2" s="1301"/>
      <c r="L2" s="1301"/>
      <c r="M2" s="1301"/>
      <c r="N2" s="1301"/>
      <c r="O2" s="1301"/>
      <c r="P2" s="1301"/>
      <c r="Q2" s="1301"/>
      <c r="R2" s="1301"/>
      <c r="S2" s="1301"/>
      <c r="T2" s="1301"/>
      <c r="U2" s="1301"/>
      <c r="V2" s="1301"/>
      <c r="W2" s="1301"/>
      <c r="X2" s="1301"/>
      <c r="Y2" s="1301"/>
      <c r="Z2" s="1301"/>
      <c r="AA2" s="1301"/>
      <c r="AB2" s="1301"/>
      <c r="AC2" s="1301"/>
      <c r="AD2" s="1301"/>
      <c r="AE2" s="1301"/>
      <c r="AF2" s="1301"/>
      <c r="AG2" s="1301"/>
      <c r="AH2" s="1301"/>
      <c r="AI2" s="1301"/>
      <c r="AJ2" s="1301"/>
      <c r="AK2" s="1301"/>
      <c r="AL2" s="1301"/>
      <c r="AM2" s="1301"/>
      <c r="AN2" s="1301"/>
      <c r="AO2" s="1301"/>
      <c r="AP2" s="1301"/>
      <c r="AQ2" s="1301"/>
      <c r="AR2" s="1301"/>
      <c r="AS2" s="1301"/>
      <c r="AT2" s="1301"/>
      <c r="AU2" s="1301"/>
      <c r="AV2" s="1301"/>
      <c r="AW2" s="1301"/>
      <c r="AX2" s="1301"/>
      <c r="AY2" s="1301"/>
    </row>
    <row r="3" spans="2:51" s="180" customFormat="1" ht="4.5" customHeight="1">
      <c r="D3" s="181"/>
      <c r="I3" s="181"/>
      <c r="J3" s="182"/>
      <c r="K3" s="182"/>
      <c r="O3" s="181"/>
      <c r="P3" s="181"/>
      <c r="Q3" s="181"/>
      <c r="R3" s="177"/>
      <c r="S3" s="181"/>
      <c r="T3" s="181"/>
      <c r="U3" s="181"/>
      <c r="V3" s="181"/>
      <c r="W3" s="181"/>
      <c r="X3" s="181"/>
      <c r="Y3" s="181"/>
      <c r="Z3" s="181"/>
      <c r="AA3" s="181"/>
      <c r="AB3" s="181"/>
      <c r="AC3" s="181"/>
      <c r="AD3" s="181"/>
      <c r="AE3" s="181"/>
      <c r="AF3" s="181"/>
      <c r="AG3" s="183"/>
      <c r="AH3" s="183"/>
      <c r="AI3" s="184"/>
      <c r="AJ3" s="184"/>
      <c r="AK3" s="184"/>
      <c r="AL3" s="184"/>
      <c r="AM3" s="185">
        <f>(COLUMN()-COLUMN($AM$3))/12+1</f>
        <v>1</v>
      </c>
      <c r="AN3" s="4"/>
      <c r="AO3" s="965"/>
      <c r="AP3" s="965"/>
      <c r="AQ3" s="965"/>
      <c r="AR3" s="965"/>
      <c r="AS3" s="965"/>
      <c r="AT3" s="965"/>
      <c r="AU3" s="965"/>
      <c r="AV3" s="965"/>
      <c r="AW3" s="965"/>
      <c r="AX3" s="186">
        <f>2+2*AM3</f>
        <v>4</v>
      </c>
    </row>
    <row r="4" spans="2:51" s="13" customFormat="1">
      <c r="B4" s="1304" t="s">
        <v>441</v>
      </c>
      <c r="C4" s="1304"/>
      <c r="D4" s="1304"/>
      <c r="E4" s="1304"/>
      <c r="F4" s="1304"/>
      <c r="G4" s="1304"/>
      <c r="H4" s="1304"/>
      <c r="I4" s="1304"/>
      <c r="J4" s="1304"/>
      <c r="K4" s="1304"/>
      <c r="L4" s="1304"/>
      <c r="M4" s="1304"/>
      <c r="N4" s="1304"/>
      <c r="O4" s="1304"/>
      <c r="P4" s="1304"/>
      <c r="Q4" s="1304"/>
      <c r="R4" s="1304"/>
      <c r="S4" s="1304"/>
      <c r="T4" s="1304"/>
      <c r="U4" s="2"/>
      <c r="V4" s="2"/>
      <c r="W4" s="2"/>
      <c r="X4" s="2"/>
      <c r="Y4" s="2"/>
      <c r="Z4" s="2"/>
      <c r="AA4" s="2"/>
      <c r="AB4" s="2"/>
      <c r="AC4" s="2"/>
      <c r="AD4" s="2"/>
      <c r="AE4" s="2"/>
      <c r="AF4" s="2"/>
      <c r="AG4" s="2"/>
      <c r="AH4" s="2"/>
      <c r="AI4" s="2"/>
      <c r="AJ4" s="2"/>
      <c r="AK4" s="2"/>
      <c r="AL4" s="2"/>
      <c r="AM4" s="1303">
        <f>INDEX(Premises!$A$10:$F$10,1,2+2*AM$3)</f>
        <v>1</v>
      </c>
      <c r="AN4" s="1303"/>
      <c r="AO4" s="1303"/>
      <c r="AP4" s="1303"/>
      <c r="AQ4" s="1303"/>
      <c r="AR4" s="1303"/>
      <c r="AS4" s="1303"/>
      <c r="AT4" s="1303"/>
      <c r="AU4" s="1303"/>
      <c r="AV4" s="1303"/>
      <c r="AW4" s="1303"/>
      <c r="AX4" s="1303"/>
    </row>
    <row r="5" spans="2:51" s="2" customFormat="1" ht="90" customHeight="1">
      <c r="B5" s="681" t="s">
        <v>69</v>
      </c>
      <c r="C5" s="677" t="str">
        <f>"Invest 
["&amp;InputCurrency&amp;"]"</f>
        <v>Invest 
[EUR]</v>
      </c>
      <c r="D5" s="678" t="s">
        <v>562</v>
      </c>
      <c r="E5" s="678" t="s">
        <v>548</v>
      </c>
      <c r="F5" s="678" t="s">
        <v>2073</v>
      </c>
      <c r="G5" s="678" t="s">
        <v>591</v>
      </c>
      <c r="H5" s="678" t="s">
        <v>2074</v>
      </c>
      <c r="I5" s="678" t="s">
        <v>549</v>
      </c>
      <c r="J5" s="679" t="s">
        <v>1559</v>
      </c>
      <c r="K5" s="679" t="s">
        <v>550</v>
      </c>
      <c r="L5" s="678" t="s">
        <v>1380</v>
      </c>
      <c r="M5" s="678" t="s">
        <v>1381</v>
      </c>
      <c r="N5" s="678" t="s">
        <v>551</v>
      </c>
      <c r="O5" s="678" t="str">
        <f>"Auxiliary and test equip.
["&amp;InputCurrency&amp;"/Year]"</f>
        <v>Auxiliary and test equip.
[EUR/Year]</v>
      </c>
      <c r="P5" s="678" t="s">
        <v>1679</v>
      </c>
      <c r="Q5" s="678" t="str">
        <f>"General operating costs
["&amp;InputCurrency&amp;"/Year]"</f>
        <v>General operating costs
[EUR/Year]</v>
      </c>
      <c r="R5" s="678" t="s">
        <v>4036</v>
      </c>
      <c r="S5" s="678"/>
      <c r="T5" s="678"/>
      <c r="U5" s="677" t="str">
        <f>"Invest
["&amp;Currency&amp;"]"</f>
        <v>Invest
[EUR]</v>
      </c>
      <c r="V5" s="678" t="s">
        <v>2075</v>
      </c>
      <c r="W5" s="678" t="s">
        <v>1558</v>
      </c>
      <c r="X5" s="678" t="s">
        <v>1580</v>
      </c>
      <c r="Y5" s="678" t="s">
        <v>565</v>
      </c>
      <c r="Z5" s="678" t="s">
        <v>566</v>
      </c>
      <c r="AA5" s="678" t="s">
        <v>567</v>
      </c>
      <c r="AB5" s="678" t="s">
        <v>568</v>
      </c>
      <c r="AC5" s="678" t="s">
        <v>2440</v>
      </c>
      <c r="AD5" s="680" t="s">
        <v>113</v>
      </c>
      <c r="AE5" s="953" t="s">
        <v>2649</v>
      </c>
      <c r="AF5" s="685" t="s">
        <v>114</v>
      </c>
      <c r="AG5" s="685" t="s">
        <v>115</v>
      </c>
      <c r="AH5" s="685" t="s">
        <v>2312</v>
      </c>
      <c r="AI5" s="680" t="s">
        <v>79</v>
      </c>
      <c r="AJ5" s="681" t="s">
        <v>1222</v>
      </c>
      <c r="AK5" s="681" t="s">
        <v>918</v>
      </c>
      <c r="AL5" s="189" t="s">
        <v>916</v>
      </c>
      <c r="AM5" s="190" t="str">
        <f>"MHR 
["&amp;Currency&amp;"/h]"</f>
        <v>MHR 
[EUR/h]</v>
      </c>
      <c r="AN5" s="678" t="s">
        <v>569</v>
      </c>
      <c r="AO5" s="694" t="str">
        <f>"Rent 
["&amp;Currency&amp;"/m²]"</f>
        <v>Rent 
[EUR/m²]</v>
      </c>
      <c r="AP5" s="694" t="s">
        <v>570</v>
      </c>
      <c r="AQ5" s="678" t="s">
        <v>1580</v>
      </c>
      <c r="AR5" s="694" t="s">
        <v>571</v>
      </c>
      <c r="AS5" s="694" t="s">
        <v>552</v>
      </c>
      <c r="AT5" s="695" t="str">
        <f>"Electricity 
[" &amp; InputCurrency &amp; "/kWh]"</f>
        <v>Electricity 
[EUR/kWh]</v>
      </c>
      <c r="AU5" s="695" t="str">
        <f>"Natural gas 
[" &amp; InputCurrency &amp; "/kWh]"</f>
        <v>Natural gas 
[EUR/kWh]</v>
      </c>
      <c r="AV5" s="694" t="str">
        <f>"Fixed Costs
["&amp;Currency&amp;"/h]"</f>
        <v>Fixed Costs
[EUR/h]</v>
      </c>
      <c r="AW5" s="694" t="str">
        <f>"Variable costs 
["&amp;Currency&amp;"/h]"</f>
        <v>Variable costs 
[EUR/h]</v>
      </c>
      <c r="AX5" s="190" t="str">
        <f>"IMHR IMC
["&amp;Currency&amp;"/h]"</f>
        <v>IMHR IMC
[EUR/h]</v>
      </c>
      <c r="AY5" s="684" t="s">
        <v>38</v>
      </c>
    </row>
    <row r="6" spans="2:51" s="200" customFormat="1" ht="4.5" customHeight="1">
      <c r="B6" s="191" t="s">
        <v>2</v>
      </c>
      <c r="C6" s="192" t="s">
        <v>1165</v>
      </c>
      <c r="D6" s="193" t="s">
        <v>446</v>
      </c>
      <c r="E6" s="193" t="s">
        <v>21</v>
      </c>
      <c r="F6" s="193" t="s">
        <v>5</v>
      </c>
      <c r="G6" s="193" t="s">
        <v>580</v>
      </c>
      <c r="H6" s="193" t="s">
        <v>581</v>
      </c>
      <c r="I6" s="193" t="s">
        <v>447</v>
      </c>
      <c r="J6" s="194" t="s">
        <v>448</v>
      </c>
      <c r="K6" s="194" t="s">
        <v>449</v>
      </c>
      <c r="L6" s="193" t="s">
        <v>576</v>
      </c>
      <c r="M6" s="193" t="s">
        <v>577</v>
      </c>
      <c r="N6" s="193" t="s">
        <v>450</v>
      </c>
      <c r="O6" s="193" t="s">
        <v>451</v>
      </c>
      <c r="P6" s="193" t="s">
        <v>452</v>
      </c>
      <c r="Q6" s="193" t="s">
        <v>1682</v>
      </c>
      <c r="R6" s="1134" t="s">
        <v>36</v>
      </c>
      <c r="S6" s="193" t="s">
        <v>37</v>
      </c>
      <c r="T6" s="193" t="s">
        <v>435</v>
      </c>
      <c r="U6" s="192" t="s">
        <v>438</v>
      </c>
      <c r="V6" s="193" t="s">
        <v>453</v>
      </c>
      <c r="W6" s="193" t="s">
        <v>582</v>
      </c>
      <c r="X6" s="193" t="s">
        <v>1148</v>
      </c>
      <c r="Y6" s="193" t="s">
        <v>117</v>
      </c>
      <c r="Z6" s="193" t="s">
        <v>118</v>
      </c>
      <c r="AA6" s="193" t="s">
        <v>180</v>
      </c>
      <c r="AB6" s="193" t="s">
        <v>181</v>
      </c>
      <c r="AC6" s="193" t="s">
        <v>2435</v>
      </c>
      <c r="AD6" s="195" t="s">
        <v>1118</v>
      </c>
      <c r="AE6" s="195" t="s">
        <v>2590</v>
      </c>
      <c r="AF6" s="196" t="s">
        <v>1120</v>
      </c>
      <c r="AG6" s="196" t="s">
        <v>1119</v>
      </c>
      <c r="AH6" s="196" t="s">
        <v>2311</v>
      </c>
      <c r="AI6" s="195" t="s">
        <v>79</v>
      </c>
      <c r="AJ6" s="197" t="s">
        <v>917</v>
      </c>
      <c r="AK6" s="197" t="s">
        <v>918</v>
      </c>
      <c r="AL6" s="197" t="s">
        <v>916</v>
      </c>
      <c r="AM6" s="198" t="s">
        <v>39</v>
      </c>
      <c r="AN6" s="193" t="s">
        <v>539</v>
      </c>
      <c r="AO6" s="199" t="s">
        <v>1124</v>
      </c>
      <c r="AP6" s="199" t="s">
        <v>1117</v>
      </c>
      <c r="AQ6" s="199" t="s">
        <v>6</v>
      </c>
      <c r="AR6" s="199" t="s">
        <v>1121</v>
      </c>
      <c r="AS6" s="199" t="s">
        <v>1122</v>
      </c>
      <c r="AT6" s="198" t="s">
        <v>1123</v>
      </c>
      <c r="AU6" s="198" t="s">
        <v>1125</v>
      </c>
      <c r="AV6" s="199" t="s">
        <v>1126</v>
      </c>
      <c r="AW6" s="199" t="s">
        <v>1127</v>
      </c>
      <c r="AX6" s="198" t="s">
        <v>63</v>
      </c>
      <c r="AY6" s="200" t="s">
        <v>38</v>
      </c>
    </row>
    <row r="7" spans="2:51">
      <c r="B7" s="1232" t="s">
        <v>4135</v>
      </c>
      <c r="C7" s="1233">
        <v>1378900</v>
      </c>
      <c r="D7" s="1234">
        <v>10</v>
      </c>
      <c r="E7" s="1233">
        <v>69.099999999999994</v>
      </c>
      <c r="F7" s="1235">
        <v>0.5</v>
      </c>
      <c r="G7" s="1235"/>
      <c r="H7" s="1235"/>
      <c r="I7" s="1236">
        <v>133.67999999999998</v>
      </c>
      <c r="J7" s="201">
        <v>2.1899999999999999E-2</v>
      </c>
      <c r="K7" s="201">
        <v>3.7999999999999999E-2</v>
      </c>
      <c r="L7" s="1237">
        <v>1648</v>
      </c>
      <c r="M7" s="1236">
        <v>2256</v>
      </c>
      <c r="N7" s="1236">
        <v>37</v>
      </c>
      <c r="O7" s="1236">
        <v>2121</v>
      </c>
      <c r="P7" s="1238">
        <v>5.3</v>
      </c>
      <c r="Q7" s="1236">
        <v>3720</v>
      </c>
      <c r="R7" s="1135">
        <v>0.48199999999999998</v>
      </c>
      <c r="S7" s="1236"/>
      <c r="T7" s="1236"/>
      <c r="U7" s="686">
        <f>MHR[[#This Row],[Invest (Input)]]*ExchangeRate</f>
        <v>1378900</v>
      </c>
      <c r="V7" s="687">
        <f>MHR[[#This Row],[Strom]]*MHR[[#This Row],[Faktor
Strom]]</f>
        <v>34.549999999999997</v>
      </c>
      <c r="W7" s="687">
        <f>MHR[[#This Row],[Gas]]*MHR[[#This Row],[Faktor
Gas]]</f>
        <v>0</v>
      </c>
      <c r="X7" s="1236"/>
      <c r="Y7" s="1236"/>
      <c r="Z7" s="1236"/>
      <c r="AA7" s="1236"/>
      <c r="AB7" s="1236"/>
      <c r="AC7" s="1236"/>
      <c r="AD7" s="1236"/>
      <c r="AE7" s="1236"/>
      <c r="AF7" s="1239">
        <v>924</v>
      </c>
      <c r="AG7" s="1239" t="s">
        <v>4136</v>
      </c>
      <c r="AH7" s="1239" t="s">
        <v>4007</v>
      </c>
      <c r="AI7" s="1240" t="str">
        <f>IF(ISERROR(MATCH(MHR[[#This Row],[Bezeichnung]],MHR_Used,0)),0,"X")</f>
        <v>X</v>
      </c>
      <c r="AJ7" s="1235" t="s">
        <v>4138</v>
      </c>
      <c r="AK7" s="1240" t="str">
        <f>IF(AND(MHR[[#This Row],[String]]&lt;&gt;"",_xlfn.CONCAT(MHR[[#This Row],[Bezeichnung]:[   ]])=MHR[[#This Row],[String]]),"X","C")</f>
        <v>X</v>
      </c>
      <c r="AL7" s="1241" t="s">
        <v>4137</v>
      </c>
      <c r="AM7" s="168">
        <f t="shared" ref="AM7:AM12" si="0">AV7+AW7</f>
        <v>48.837872708333336</v>
      </c>
      <c r="AN7" s="1242" cm="1">
        <f t="array" ref="AN7">IF(OR(AND(MHR[[#This Row],[ProdSpez]]="X",MHR[[#This Row],[X/O]]="X"),AND(MHR[[#This Row],[SpezBeMi]]="X",MHR[[#This Row],[X/O]]="X")),AR7/(AP7*AQ7*8),INDEX(Premises!$A$15:$F$15,1,AX$3)/100)</f>
        <v>0.8</v>
      </c>
      <c r="AO7" s="688" cm="1">
        <f t="array" ref="AO7">INDEX(Premises!$A$23:$F$23,1,AX$3)</f>
        <v>3.03</v>
      </c>
      <c r="AP7" s="1243" cm="1">
        <f t="array" ref="AP7">INDEX(Premises!$A$19:$F$19,1,AX$3)</f>
        <v>300</v>
      </c>
      <c r="AQ7" s="1243" cm="1">
        <f t="array" ref="AQ7">IF(ISBLANK(MHR[[#This Row],[Schichtmodell]]),INDEX(Premises!$A$20:$F$20,1,AX$3),MHR[[#This Row],[Schichtmodell]])</f>
        <v>3</v>
      </c>
      <c r="AR7" s="1243" cm="1">
        <f t="array" ref="AR7">IF(OR(AND(MHR[[#This Row],[ProdSpez]]="X",MHR[[#This Row],[X/O]]="X"),AND(MHR[[#This Row],[SpezBeMi]]="X",MHR[[#This Row],[X/O]]="X")),INDEX(Premises!$A$13:$F$13,1,AX$3)
*INDEX(Calculation!$F$11:$F$65,MATCH(MHR[[#This Row],[Bezeichnung]],MHR_Used,0))/IF(INDEX(Calculation!$G$11:$G$65,MATCH(MHR[[#This Row],[Bezeichnung]],MHR_Used,0))="s",3600,IF(INDEX(Calculation!$G$11:$G$65,MATCH(MHR[[#This Row],[Bezeichnung]],MHR_Used,0))="min",60,1))/INDEX(Calculation!$H$11:$H$65,MATCH(MHR[[#This Row],[Bezeichnung]],MHR_Used,0))/ROUNDUP(INDEX(Premises!$A$13:$F$13,1,AX$3)
*INDEX(Calculation!$F$11:$F$65,MATCH(MHR[[#This Row],[Bezeichnung]],MHR_Used,0))/IF(INDEX(Calculation!$G$11:$G$65,MATCH(MHR[[#This Row],[Bezeichnung]],MHR_Used,0))="s",3600,IF(INDEX(Calculation!$G$11:$G$65,MATCH(MHR[[#This Row],[Bezeichnung]],MHR_Used,0))="min",60,1))/INDEX(Calculation!$H$11:$H$65,MATCH(MHR[[#This Row],[Bezeichnung]],MHR_Used,0))/(AP7*AQ7*8),0),
AP7*8*AQ7*AN7)</f>
        <v>5760</v>
      </c>
      <c r="AS7" s="1244" cm="1">
        <f t="array" ref="AS7">INDEX(Premises!$A$26:$F$26,1,AX$3)/100</f>
        <v>3.7000000000000005E-2</v>
      </c>
      <c r="AT7" s="682" cm="1">
        <f t="array" ref="AT7">IF(INDEX(Settings[],MATCH(3011,Settings[ID],0),2)=1,INDEX(Premises!$A$55:$F$55,1,AX$3),
INDEX(Premises!$A$24:$F$24,1,AX$3))</f>
        <v>7.0000000000000007E-2</v>
      </c>
      <c r="AU7" s="682" cm="1">
        <f t="array" ref="AU7">INDEX(Premises!$A$25:$F$25,1,AX$3)</f>
        <v>0.02</v>
      </c>
      <c r="AV7" s="688">
        <f>IFERROR(IF(MHR[[#This Row],[SpezBeMi]]="X",($I7*AO7*12)/AR7,(($U7/$D7)+($U7*0.5*AS7)+($I7*AO7*12))/AR7),0)</f>
        <v>29.211849791666666</v>
      </c>
      <c r="AW7" s="688">
        <f t="shared" ref="AW7:AW12" si="1">IFERROR(($V7*AT7)
+($W7*AU7)
+((($J7*$U7)+($K7*$U7))*AR7/4800)/AR7,0)</f>
        <v>19.62602291666667</v>
      </c>
      <c r="AX7" s="168" cm="1">
        <f t="array" ref="AX7">IFERROR((
(MHR[[#This Row],[Indirektes Personal H]]*INDEX(LOC[High-skilled],MATCH(INDEX(Premises!$A$18:$F$18,1,AX$3),LOC[Standort],0))+MHR[[#This Row],[Indirektes Personal U]]*INDEX(LOC[M3S],MATCH(INDEX(Premises!$A$18:$F$18,1,AX$3),LOC[Standort],0)))*IF(AQ7=3,1,IF(AQ7=2,0.75,IF(AQ7=1,0.5,0)))/AR7
+($N7*AO7*12)/AR7+($N7+$I7)*8*12*AT7/AR7
+ExchangeRate*$O7*(1+0.5*((1+AS7)^8-1))/AR7+($P7*AT7)
+ExchangeRate*$Q7*(AR7/4800)/AR7
),0)</f>
        <v>10.810270866302181</v>
      </c>
    </row>
    <row r="8" spans="2:51">
      <c r="B8" s="1232" t="s">
        <v>4139</v>
      </c>
      <c r="C8" s="1233">
        <v>210000</v>
      </c>
      <c r="D8" s="1234">
        <v>10</v>
      </c>
      <c r="E8" s="1233">
        <v>15</v>
      </c>
      <c r="F8" s="1235">
        <v>0.5</v>
      </c>
      <c r="G8" s="1235"/>
      <c r="H8" s="1235"/>
      <c r="I8" s="1236">
        <v>30</v>
      </c>
      <c r="J8" s="201">
        <v>5.0000000000000001E-3</v>
      </c>
      <c r="K8" s="201">
        <v>3.7999999999999999E-2</v>
      </c>
      <c r="L8" s="1237">
        <v>160</v>
      </c>
      <c r="M8" s="1236">
        <v>314</v>
      </c>
      <c r="N8" s="1236">
        <v>8</v>
      </c>
      <c r="O8" s="1236">
        <v>72</v>
      </c>
      <c r="P8" s="1238">
        <v>0.8</v>
      </c>
      <c r="Q8" s="1236">
        <v>400</v>
      </c>
      <c r="R8" s="1135">
        <v>0.47699999999999998</v>
      </c>
      <c r="S8" s="1236"/>
      <c r="T8" s="1236"/>
      <c r="U8" s="686">
        <f>MHR[[#This Row],[Invest (Input)]]*ExchangeRate</f>
        <v>210000</v>
      </c>
      <c r="V8" s="687">
        <f>MHR[[#This Row],[Strom]]*MHR[[#This Row],[Faktor
Strom]]</f>
        <v>7.5</v>
      </c>
      <c r="W8" s="687">
        <f>MHR[[#This Row],[Gas]]*MHR[[#This Row],[Faktor
Gas]]</f>
        <v>0</v>
      </c>
      <c r="X8" s="1236"/>
      <c r="Y8" s="1236"/>
      <c r="Z8" s="1236"/>
      <c r="AA8" s="1236"/>
      <c r="AB8" s="1236"/>
      <c r="AC8" s="1236"/>
      <c r="AD8" s="1236"/>
      <c r="AE8" s="1236"/>
      <c r="AF8" s="1239">
        <v>620</v>
      </c>
      <c r="AG8" s="1239"/>
      <c r="AH8" s="1239"/>
      <c r="AI8" s="1240" t="str">
        <f>IF(ISERROR(MATCH(MHR[[#This Row],[Bezeichnung]],MHR_Used,0)),0,"X")</f>
        <v>X</v>
      </c>
      <c r="AJ8" s="1235" t="s">
        <v>4138</v>
      </c>
      <c r="AK8" s="1240" t="str">
        <f>IF(AND(MHR[[#This Row],[String]]&lt;&gt;"",_xlfn.CONCAT(MHR[[#This Row],[Bezeichnung]:[   ]])=MHR[[#This Row],[String]]),"X","C")</f>
        <v>X</v>
      </c>
      <c r="AL8" s="1241" t="s">
        <v>4140</v>
      </c>
      <c r="AM8" s="168">
        <f t="shared" si="0"/>
        <v>6.9159375000000001</v>
      </c>
      <c r="AN8" s="1242" cm="1">
        <f t="array" ref="AN8">IF(OR(AND(MHR[[#This Row],[ProdSpez]]="X",MHR[[#This Row],[X/O]]="X"),AND(MHR[[#This Row],[SpezBeMi]]="X",MHR[[#This Row],[X/O]]="X")),AR8/(AP8*AQ8*8),INDEX(Premises!$A$15:$F$15,1,AX$3)/100)</f>
        <v>0.8</v>
      </c>
      <c r="AO8" s="688" cm="1">
        <f t="array" ref="AO8">INDEX(Premises!$A$23:$F$23,1,AX$3)</f>
        <v>3.03</v>
      </c>
      <c r="AP8" s="1243" cm="1">
        <f t="array" ref="AP8">INDEX(Premises!$A$19:$F$19,1,AX$3)</f>
        <v>300</v>
      </c>
      <c r="AQ8" s="1243" cm="1">
        <f t="array" ref="AQ8">IF(ISBLANK(MHR[[#This Row],[Schichtmodell]]),INDEX(Premises!$A$20:$F$20,1,AX$3),MHR[[#This Row],[Schichtmodell]])</f>
        <v>3</v>
      </c>
      <c r="AR8" s="1243" cm="1">
        <f t="array" ref="AR8">IF(OR(AND(MHR[[#This Row],[ProdSpez]]="X",MHR[[#This Row],[X/O]]="X"),AND(MHR[[#This Row],[SpezBeMi]]="X",MHR[[#This Row],[X/O]]="X")),INDEX(Premises!$A$13:$F$13,1,AX$3)
*INDEX(Calculation!$F$11:$F$65,MATCH(MHR[[#This Row],[Bezeichnung]],MHR_Used,0))/IF(INDEX(Calculation!$G$11:$G$65,MATCH(MHR[[#This Row],[Bezeichnung]],MHR_Used,0))="s",3600,IF(INDEX(Calculation!$G$11:$G$65,MATCH(MHR[[#This Row],[Bezeichnung]],MHR_Used,0))="min",60,1))/INDEX(Calculation!$H$11:$H$65,MATCH(MHR[[#This Row],[Bezeichnung]],MHR_Used,0))/ROUNDUP(INDEX(Premises!$A$13:$F$13,1,AX$3)
*INDEX(Calculation!$F$11:$F$65,MATCH(MHR[[#This Row],[Bezeichnung]],MHR_Used,0))/IF(INDEX(Calculation!$G$11:$G$65,MATCH(MHR[[#This Row],[Bezeichnung]],MHR_Used,0))="s",3600,IF(INDEX(Calculation!$G$11:$G$65,MATCH(MHR[[#This Row],[Bezeichnung]],MHR_Used,0))="min",60,1))/INDEX(Calculation!$H$11:$H$65,MATCH(MHR[[#This Row],[Bezeichnung]],MHR_Used,0))/(AP8*AQ8*8),0),
AP8*8*AQ8*AN8)</f>
        <v>5760</v>
      </c>
      <c r="AS8" s="1244" cm="1">
        <f t="array" ref="AS8">INDEX(Premises!$A$26:$F$26,1,AX$3)/100</f>
        <v>3.7000000000000005E-2</v>
      </c>
      <c r="AT8" s="682" cm="1">
        <f t="array" ref="AT8">IF(INDEX(Settings[],MATCH(3011,Settings[ID],0),2)=1,INDEX(Premises!$A$55:$F$55,1,AX$3),
INDEX(Premises!$A$24:$F$24,1,AX$3))</f>
        <v>7.0000000000000007E-2</v>
      </c>
      <c r="AU8" s="682" cm="1">
        <f t="array" ref="AU8">INDEX(Premises!$A$25:$F$25,1,AX$3)</f>
        <v>0.02</v>
      </c>
      <c r="AV8" s="688">
        <f>IFERROR(IF(MHR[[#This Row],[SpezBeMi]]="X",($I8*AO8*12)/AR8,(($U8/$D8)+($U8*0.5*AS8)+($I8*AO8*12))/AR8),0)</f>
        <v>4.5096875000000001</v>
      </c>
      <c r="AW8" s="688">
        <f t="shared" si="1"/>
        <v>2.40625</v>
      </c>
      <c r="AX8" s="168" cm="1">
        <f t="array" ref="AX8">IFERROR((
(MHR[[#This Row],[Indirektes Personal H]]*INDEX(LOC[High-skilled],MATCH(INDEX(Premises!$A$18:$F$18,1,AX$3),LOC[Standort],0))+MHR[[#This Row],[Indirektes Personal U]]*INDEX(LOC[M3S],MATCH(INDEX(Premises!$A$18:$F$18,1,AX$3),LOC[Standort],0)))*IF(AQ8=3,1,IF(AQ8=2,0.75,IF(AQ8=1,0.5,0)))/AR8
+($N8*AO8*12)/AR8+($N8+$I8)*8*12*AT8/AR8
+ExchangeRate*$O8*(1+0.5*((1+AS8)^8-1))/AR8+($P8*AT8)
+ExchangeRate*$Q8*(AR8/4800)/AR8
),0)</f>
        <v>1.258417175997371</v>
      </c>
    </row>
    <row r="9" spans="2:51">
      <c r="B9" s="1232" t="s">
        <v>4141</v>
      </c>
      <c r="C9" s="1233">
        <v>215810</v>
      </c>
      <c r="D9" s="1234">
        <v>10</v>
      </c>
      <c r="E9" s="1233">
        <v>50</v>
      </c>
      <c r="F9" s="1235">
        <v>0.5</v>
      </c>
      <c r="G9" s="1235"/>
      <c r="H9" s="1235"/>
      <c r="I9" s="1236">
        <v>30</v>
      </c>
      <c r="J9" s="201">
        <v>5.0000000000000001E-3</v>
      </c>
      <c r="K9" s="201">
        <v>3.7999999999999999E-2</v>
      </c>
      <c r="L9" s="1237">
        <v>240</v>
      </c>
      <c r="M9" s="1236">
        <v>556</v>
      </c>
      <c r="N9" s="1236">
        <v>9</v>
      </c>
      <c r="O9" s="1236">
        <v>145</v>
      </c>
      <c r="P9" s="1238">
        <v>0.8</v>
      </c>
      <c r="Q9" s="1236">
        <v>1200</v>
      </c>
      <c r="R9" s="1135">
        <v>0.15699999999999997</v>
      </c>
      <c r="S9" s="1236"/>
      <c r="T9" s="1236"/>
      <c r="U9" s="686">
        <f>MHR[[#This Row],[Invest (Input)]]*ExchangeRate</f>
        <v>215810</v>
      </c>
      <c r="V9" s="687">
        <f>MHR[[#This Row],[Strom]]*MHR[[#This Row],[Faktor
Strom]]</f>
        <v>25</v>
      </c>
      <c r="W9" s="687">
        <f>MHR[[#This Row],[Gas]]*MHR[[#This Row],[Faktor
Gas]]</f>
        <v>0</v>
      </c>
      <c r="X9" s="1236"/>
      <c r="Y9" s="1236"/>
      <c r="Z9" s="1236"/>
      <c r="AA9" s="1236"/>
      <c r="AB9" s="1236"/>
      <c r="AC9" s="1236"/>
      <c r="AD9" s="1236"/>
      <c r="AE9" s="1236"/>
      <c r="AF9" s="1239">
        <v>626</v>
      </c>
      <c r="AG9" s="1239"/>
      <c r="AH9" s="1239"/>
      <c r="AI9" s="1240" t="str">
        <f>IF(ISERROR(MATCH(MHR[[#This Row],[Bezeichnung]],MHR_Used,0)),0,"X")</f>
        <v>X</v>
      </c>
      <c r="AJ9" s="1235" t="s">
        <v>4138</v>
      </c>
      <c r="AK9" s="1240" t="str">
        <f>IF(AND(MHR[[#This Row],[String]]&lt;&gt;"",_xlfn.CONCAT(MHR[[#This Row],[Bezeichnung]:[   ]])=MHR[[#This Row],[String]]),"X","C")</f>
        <v>X</v>
      </c>
      <c r="AL9" s="1241" t="s">
        <v>4142</v>
      </c>
      <c r="AM9" s="168">
        <f t="shared" si="0"/>
        <v>8.3125140625</v>
      </c>
      <c r="AN9" s="1242" cm="1">
        <f t="array" ref="AN9">IF(OR(AND(MHR[[#This Row],[ProdSpez]]="X",MHR[[#This Row],[X/O]]="X"),AND(MHR[[#This Row],[SpezBeMi]]="X",MHR[[#This Row],[X/O]]="X")),AR9/(AP9*AQ9*8),INDEX(Premises!$A$15:$F$15,1,AX$3)/100)</f>
        <v>0.8</v>
      </c>
      <c r="AO9" s="688" cm="1">
        <f t="array" ref="AO9">INDEX(Premises!$A$23:$F$23,1,AX$3)</f>
        <v>3.03</v>
      </c>
      <c r="AP9" s="1243" cm="1">
        <f t="array" ref="AP9">INDEX(Premises!$A$19:$F$19,1,AX$3)</f>
        <v>300</v>
      </c>
      <c r="AQ9" s="1243" cm="1">
        <f t="array" ref="AQ9">IF(ISBLANK(MHR[[#This Row],[Schichtmodell]]),INDEX(Premises!$A$20:$F$20,1,AX$3),MHR[[#This Row],[Schichtmodell]])</f>
        <v>3</v>
      </c>
      <c r="AR9" s="1243" cm="1">
        <f t="array" ref="AR9">IF(OR(AND(MHR[[#This Row],[ProdSpez]]="X",MHR[[#This Row],[X/O]]="X"),AND(MHR[[#This Row],[SpezBeMi]]="X",MHR[[#This Row],[X/O]]="X")),INDEX(Premises!$A$13:$F$13,1,AX$3)
*INDEX(Calculation!$F$11:$F$65,MATCH(MHR[[#This Row],[Bezeichnung]],MHR_Used,0))/IF(INDEX(Calculation!$G$11:$G$65,MATCH(MHR[[#This Row],[Bezeichnung]],MHR_Used,0))="s",3600,IF(INDEX(Calculation!$G$11:$G$65,MATCH(MHR[[#This Row],[Bezeichnung]],MHR_Used,0))="min",60,1))/INDEX(Calculation!$H$11:$H$65,MATCH(MHR[[#This Row],[Bezeichnung]],MHR_Used,0))/ROUNDUP(INDEX(Premises!$A$13:$F$13,1,AX$3)
*INDEX(Calculation!$F$11:$F$65,MATCH(MHR[[#This Row],[Bezeichnung]],MHR_Used,0))/IF(INDEX(Calculation!$G$11:$G$65,MATCH(MHR[[#This Row],[Bezeichnung]],MHR_Used,0))="s",3600,IF(INDEX(Calculation!$G$11:$G$65,MATCH(MHR[[#This Row],[Bezeichnung]],MHR_Used,0))="min",60,1))/INDEX(Calculation!$H$11:$H$65,MATCH(MHR[[#This Row],[Bezeichnung]],MHR_Used,0))/(AP9*AQ9*8),0),
AP9*8*AQ9*AN9)</f>
        <v>5760</v>
      </c>
      <c r="AS9" s="1244" cm="1">
        <f t="array" ref="AS9">INDEX(Premises!$A$26:$F$26,1,AX$3)/100</f>
        <v>3.7000000000000005E-2</v>
      </c>
      <c r="AT9" s="682" cm="1">
        <f t="array" ref="AT9">IF(INDEX(Settings[],MATCH(3011,Settings[ID],0),2)=1,INDEX(Premises!$A$55:$F$55,1,AX$3),
INDEX(Premises!$A$24:$F$24,1,AX$3))</f>
        <v>7.0000000000000007E-2</v>
      </c>
      <c r="AU9" s="682" cm="1">
        <f t="array" ref="AU9">INDEX(Premises!$A$25:$F$25,1,AX$3)</f>
        <v>0.02</v>
      </c>
      <c r="AV9" s="688">
        <f>IFERROR(IF(MHR[[#This Row],[SpezBeMi]]="X",($I9*AO9*12)/AR9,(($U9/$D9)+($U9*0.5*AS9)+($I9*AO9*12))/AR9),0)</f>
        <v>4.6292161458333334</v>
      </c>
      <c r="AW9" s="688">
        <f t="shared" si="1"/>
        <v>3.6832979166666666</v>
      </c>
      <c r="AX9" s="168" cm="1">
        <f t="array" ref="AX9">IFERROR((
(MHR[[#This Row],[Indirektes Personal H]]*INDEX(LOC[High-skilled],MATCH(INDEX(Premises!$A$18:$F$18,1,AX$3),LOC[Standort],0))+MHR[[#This Row],[Indirektes Personal U]]*INDEX(LOC[M3S],MATCH(INDEX(Premises!$A$18:$F$18,1,AX$3),LOC[Standort],0)))*IF(AQ9=3,1,IF(AQ9=2,0.75,IF(AQ9=1,0.5,0)))/AR9
+($N9*AO9*12)/AR9+($N9+$I9)*8*12*AT9/AR9
+ExchangeRate*$O9*(1+0.5*((1+AS9)^8-1))/AR9+($P9*AT9)
+ExchangeRate*$Q9*(AR9/4800)/AR9
),0)</f>
        <v>2.0910580762755693</v>
      </c>
    </row>
    <row r="10" spans="2:51">
      <c r="B10" s="1232" t="s">
        <v>4143</v>
      </c>
      <c r="C10" s="1233">
        <v>94517</v>
      </c>
      <c r="D10" s="1234">
        <v>7</v>
      </c>
      <c r="E10" s="1233">
        <v>8</v>
      </c>
      <c r="F10" s="1235">
        <v>0.5</v>
      </c>
      <c r="G10" s="1235"/>
      <c r="H10" s="1235"/>
      <c r="I10" s="1236">
        <v>12</v>
      </c>
      <c r="J10" s="201">
        <v>6.6100000000000006E-2</v>
      </c>
      <c r="K10" s="201">
        <v>3.7999999999999999E-2</v>
      </c>
      <c r="L10" s="1237">
        <v>480</v>
      </c>
      <c r="M10" s="1236">
        <v>518</v>
      </c>
      <c r="N10" s="1236">
        <v>8</v>
      </c>
      <c r="O10" s="1236">
        <v>145</v>
      </c>
      <c r="P10" s="1238">
        <v>0.4</v>
      </c>
      <c r="Q10" s="1236">
        <v>1200</v>
      </c>
      <c r="R10" s="1135">
        <v>0.40800000000000003</v>
      </c>
      <c r="S10" s="1236"/>
      <c r="T10" s="1236"/>
      <c r="U10" s="686">
        <f>MHR[[#This Row],[Invest (Input)]]*ExchangeRate</f>
        <v>94517</v>
      </c>
      <c r="V10" s="687">
        <f>MHR[[#This Row],[Strom]]*MHR[[#This Row],[Faktor
Strom]]</f>
        <v>4</v>
      </c>
      <c r="W10" s="687">
        <f>MHR[[#This Row],[Gas]]*MHR[[#This Row],[Faktor
Gas]]</f>
        <v>0</v>
      </c>
      <c r="X10" s="1236"/>
      <c r="Y10" s="1236"/>
      <c r="Z10" s="1236"/>
      <c r="AA10" s="1236"/>
      <c r="AB10" s="1236"/>
      <c r="AC10" s="1236"/>
      <c r="AD10" s="1236"/>
      <c r="AE10" s="1236"/>
      <c r="AF10" s="1239">
        <v>634</v>
      </c>
      <c r="AG10" s="1239"/>
      <c r="AH10" s="1239"/>
      <c r="AI10" s="1240" t="str">
        <f>IF(ISERROR(MATCH(MHR[[#This Row],[Bezeichnung]],MHR_Used,0)),0,"X")</f>
        <v>X</v>
      </c>
      <c r="AJ10" s="1235" t="s">
        <v>4138</v>
      </c>
      <c r="AK10" s="1240" t="str">
        <f>IF(AND(MHR[[#This Row],[String]]&lt;&gt;"",_xlfn.CONCAT(MHR[[#This Row],[Bezeichnung]:[   ]])=MHR[[#This Row],[String]]),"X","C")</f>
        <v>X</v>
      </c>
      <c r="AL10" s="1241" t="s">
        <v>4144</v>
      </c>
      <c r="AM10" s="168">
        <f t="shared" si="0"/>
        <v>5.0533292901785716</v>
      </c>
      <c r="AN10" s="1242" cm="1">
        <f t="array" ref="AN10">IF(OR(AND(MHR[[#This Row],[ProdSpez]]="X",MHR[[#This Row],[X/O]]="X"),AND(MHR[[#This Row],[SpezBeMi]]="X",MHR[[#This Row],[X/O]]="X")),AR10/(AP10*AQ10*8),INDEX(Premises!$A$15:$F$15,1,AX$3)/100)</f>
        <v>0.8</v>
      </c>
      <c r="AO10" s="688" cm="1">
        <f t="array" ref="AO10">INDEX(Premises!$A$23:$F$23,1,AX$3)</f>
        <v>3.03</v>
      </c>
      <c r="AP10" s="1243" cm="1">
        <f t="array" ref="AP10">INDEX(Premises!$A$19:$F$19,1,AX$3)</f>
        <v>300</v>
      </c>
      <c r="AQ10" s="1243" cm="1">
        <f t="array" ref="AQ10">IF(ISBLANK(MHR[[#This Row],[Schichtmodell]]),INDEX(Premises!$A$20:$F$20,1,AX$3),MHR[[#This Row],[Schichtmodell]])</f>
        <v>3</v>
      </c>
      <c r="AR10" s="1243" cm="1">
        <f t="array" ref="AR10">IF(OR(AND(MHR[[#This Row],[ProdSpez]]="X",MHR[[#This Row],[X/O]]="X"),AND(MHR[[#This Row],[SpezBeMi]]="X",MHR[[#This Row],[X/O]]="X")),INDEX(Premises!$A$13:$F$13,1,AX$3)
*INDEX(Calculation!$F$11:$F$65,MATCH(MHR[[#This Row],[Bezeichnung]],MHR_Used,0))/IF(INDEX(Calculation!$G$11:$G$65,MATCH(MHR[[#This Row],[Bezeichnung]],MHR_Used,0))="s",3600,IF(INDEX(Calculation!$G$11:$G$65,MATCH(MHR[[#This Row],[Bezeichnung]],MHR_Used,0))="min",60,1))/INDEX(Calculation!$H$11:$H$65,MATCH(MHR[[#This Row],[Bezeichnung]],MHR_Used,0))/ROUNDUP(INDEX(Premises!$A$13:$F$13,1,AX$3)
*INDEX(Calculation!$F$11:$F$65,MATCH(MHR[[#This Row],[Bezeichnung]],MHR_Used,0))/IF(INDEX(Calculation!$G$11:$G$65,MATCH(MHR[[#This Row],[Bezeichnung]],MHR_Used,0))="s",3600,IF(INDEX(Calculation!$G$11:$G$65,MATCH(MHR[[#This Row],[Bezeichnung]],MHR_Used,0))="min",60,1))/INDEX(Calculation!$H$11:$H$65,MATCH(MHR[[#This Row],[Bezeichnung]],MHR_Used,0))/(AP10*AQ10*8),0),
AP10*8*AQ10*AN10)</f>
        <v>5760</v>
      </c>
      <c r="AS10" s="1244" cm="1">
        <f t="array" ref="AS10">INDEX(Premises!$A$26:$F$26,1,AX$3)/100</f>
        <v>3.7000000000000005E-2</v>
      </c>
      <c r="AT10" s="682" cm="1">
        <f t="array" ref="AT10">IF(INDEX(Settings[],MATCH(3011,Settings[ID],0),2)=1,INDEX(Premises!$A$55:$F$55,1,AX$3),
INDEX(Premises!$A$24:$F$24,1,AX$3))</f>
        <v>7.0000000000000007E-2</v>
      </c>
      <c r="AU10" s="682" cm="1">
        <f t="array" ref="AU10">INDEX(Premises!$A$25:$F$25,1,AX$3)</f>
        <v>0.02</v>
      </c>
      <c r="AV10" s="688">
        <f>IFERROR(IF(MHR[[#This Row],[SpezBeMi]]="X",($I10*AO10*12)/AR10,(($U10/$D10)+($U10*0.5*AS10)+($I10*AO10*12))/AR10),0)</f>
        <v>2.7234918526785714</v>
      </c>
      <c r="AW10" s="688">
        <f t="shared" si="1"/>
        <v>2.3298374375000002</v>
      </c>
      <c r="AX10" s="168" cm="1">
        <f t="array" ref="AX10">IFERROR((
(MHR[[#This Row],[Indirektes Personal H]]*INDEX(LOC[High-skilled],MATCH(INDEX(Premises!$A$18:$F$18,1,AX$3),LOC[Standort],0))+MHR[[#This Row],[Indirektes Personal U]]*INDEX(LOC[M3S],MATCH(INDEX(Premises!$A$18:$F$18,1,AX$3),LOC[Standort],0)))*IF(AQ10=3,1,IF(AQ10=2,0.75,IF(AQ10=1,0.5,0)))/AR10
+($N10*AO10*12)/AR10+($N10+$I10)*8*12*AT10/AR10
+ExchangeRate*$O10*(1+0.5*((1+AS10)^8-1))/AR10+($P10*AT10)
+ExchangeRate*$Q10*(AR10/4800)/AR10
),0)</f>
        <v>2.7174990484977917</v>
      </c>
    </row>
    <row r="11" spans="2:51">
      <c r="B11" s="1232" t="s">
        <v>4145</v>
      </c>
      <c r="C11" s="1233">
        <v>107500</v>
      </c>
      <c r="D11" s="1234">
        <v>7</v>
      </c>
      <c r="E11" s="1233">
        <v>5</v>
      </c>
      <c r="F11" s="1235">
        <v>0.5</v>
      </c>
      <c r="G11" s="1235"/>
      <c r="H11" s="1235"/>
      <c r="I11" s="1236">
        <v>20</v>
      </c>
      <c r="J11" s="201">
        <v>0.02</v>
      </c>
      <c r="K11" s="201">
        <v>3.7999999999999999E-2</v>
      </c>
      <c r="L11" s="1237">
        <v>144</v>
      </c>
      <c r="M11" s="1236">
        <v>538</v>
      </c>
      <c r="N11" s="1236">
        <v>9</v>
      </c>
      <c r="O11" s="1236">
        <v>145</v>
      </c>
      <c r="P11" s="1238">
        <v>0.6</v>
      </c>
      <c r="Q11" s="1236">
        <v>900</v>
      </c>
      <c r="R11" s="1135">
        <v>1.1400000000000001</v>
      </c>
      <c r="S11" s="1236"/>
      <c r="T11" s="1236"/>
      <c r="U11" s="686">
        <f>MHR[[#This Row],[Invest (Input)]]*ExchangeRate</f>
        <v>107500</v>
      </c>
      <c r="V11" s="687">
        <f>MHR[[#This Row],[Strom]]*MHR[[#This Row],[Faktor
Strom]]</f>
        <v>2.5</v>
      </c>
      <c r="W11" s="687">
        <f>MHR[[#This Row],[Gas]]*MHR[[#This Row],[Faktor
Gas]]</f>
        <v>0</v>
      </c>
      <c r="X11" s="1236"/>
      <c r="Y11" s="1236"/>
      <c r="Z11" s="1236"/>
      <c r="AA11" s="1236"/>
      <c r="AB11" s="1236"/>
      <c r="AC11" s="1236"/>
      <c r="AD11" s="1236"/>
      <c r="AE11" s="1236"/>
      <c r="AF11" s="1239">
        <v>628</v>
      </c>
      <c r="AG11" s="1239"/>
      <c r="AH11" s="1239"/>
      <c r="AI11" s="1240" t="str">
        <f>IF(ISERROR(MATCH(MHR[[#This Row],[Bezeichnung]],MHR_Used,0)),0,"X")</f>
        <v>X</v>
      </c>
      <c r="AJ11" s="1235" t="s">
        <v>4138</v>
      </c>
      <c r="AK11" s="1240" t="str">
        <f>IF(AND(MHR[[#This Row],[String]]&lt;&gt;"",_xlfn.CONCAT(MHR[[#This Row],[Bezeichnung]:[   ]])=MHR[[#This Row],[String]]),"X","C")</f>
        <v>X</v>
      </c>
      <c r="AL11" s="1241" t="s">
        <v>4146</v>
      </c>
      <c r="AM11" s="168">
        <f t="shared" si="0"/>
        <v>4.6116480654761904</v>
      </c>
      <c r="AN11" s="1242" cm="1">
        <f t="array" ref="AN11">IF(OR(AND(MHR[[#This Row],[ProdSpez]]="X",MHR[[#This Row],[X/O]]="X"),AND(MHR[[#This Row],[SpezBeMi]]="X",MHR[[#This Row],[X/O]]="X")),AR11/(AP11*AQ11*8),INDEX(Premises!$A$15:$F$15,1,AX$3)/100)</f>
        <v>0.8</v>
      </c>
      <c r="AO11" s="688" cm="1">
        <f t="array" ref="AO11">INDEX(Premises!$A$23:$F$23,1,AX$3)</f>
        <v>3.03</v>
      </c>
      <c r="AP11" s="1243" cm="1">
        <f t="array" ref="AP11">INDEX(Premises!$A$19:$F$19,1,AX$3)</f>
        <v>300</v>
      </c>
      <c r="AQ11" s="1243" cm="1">
        <f t="array" ref="AQ11">IF(ISBLANK(MHR[[#This Row],[Schichtmodell]]),INDEX(Premises!$A$20:$F$20,1,AX$3),MHR[[#This Row],[Schichtmodell]])</f>
        <v>3</v>
      </c>
      <c r="AR11" s="1243" cm="1">
        <f t="array" ref="AR11">IF(OR(AND(MHR[[#This Row],[ProdSpez]]="X",MHR[[#This Row],[X/O]]="X"),AND(MHR[[#This Row],[SpezBeMi]]="X",MHR[[#This Row],[X/O]]="X")),INDEX(Premises!$A$13:$F$13,1,AX$3)
*INDEX(Calculation!$F$11:$F$65,MATCH(MHR[[#This Row],[Bezeichnung]],MHR_Used,0))/IF(INDEX(Calculation!$G$11:$G$65,MATCH(MHR[[#This Row],[Bezeichnung]],MHR_Used,0))="s",3600,IF(INDEX(Calculation!$G$11:$G$65,MATCH(MHR[[#This Row],[Bezeichnung]],MHR_Used,0))="min",60,1))/INDEX(Calculation!$H$11:$H$65,MATCH(MHR[[#This Row],[Bezeichnung]],MHR_Used,0))/ROUNDUP(INDEX(Premises!$A$13:$F$13,1,AX$3)
*INDEX(Calculation!$F$11:$F$65,MATCH(MHR[[#This Row],[Bezeichnung]],MHR_Used,0))/IF(INDEX(Calculation!$G$11:$G$65,MATCH(MHR[[#This Row],[Bezeichnung]],MHR_Used,0))="s",3600,IF(INDEX(Calculation!$G$11:$G$65,MATCH(MHR[[#This Row],[Bezeichnung]],MHR_Used,0))="min",60,1))/INDEX(Calculation!$H$11:$H$65,MATCH(MHR[[#This Row],[Bezeichnung]],MHR_Used,0))/(AP11*AQ11*8),0),
AP11*8*AQ11*AN11)</f>
        <v>5760</v>
      </c>
      <c r="AS11" s="1244" cm="1">
        <f t="array" ref="AS11">INDEX(Premises!$A$26:$F$26,1,AX$3)/100</f>
        <v>3.7000000000000005E-2</v>
      </c>
      <c r="AT11" s="682" cm="1">
        <f t="array" ref="AT11">IF(INDEX(Settings[],MATCH(3011,Settings[ID],0),2)=1,INDEX(Premises!$A$55:$F$55,1,AX$3),
INDEX(Premises!$A$24:$F$24,1,AX$3))</f>
        <v>7.0000000000000007E-2</v>
      </c>
      <c r="AU11" s="682" cm="1">
        <f t="array" ref="AU11">INDEX(Premises!$A$25:$F$25,1,AX$3)</f>
        <v>0.02</v>
      </c>
      <c r="AV11" s="688">
        <f>IFERROR(IF(MHR[[#This Row],[SpezBeMi]]="X",($I11*AO11*12)/AR11,(($U11/$D11)+($U11*0.5*AS11)+($I11*AO11*12))/AR11),0)</f>
        <v>3.1376897321428574</v>
      </c>
      <c r="AW11" s="688">
        <f t="shared" si="1"/>
        <v>1.4739583333333335</v>
      </c>
      <c r="AX11" s="168" cm="1">
        <f t="array" ref="AX11">IFERROR((
(MHR[[#This Row],[Indirektes Personal H]]*INDEX(LOC[High-skilled],MATCH(INDEX(Premises!$A$18:$F$18,1,AX$3),LOC[Standort],0))+MHR[[#This Row],[Indirektes Personal U]]*INDEX(LOC[M3S],MATCH(INDEX(Premises!$A$18:$F$18,1,AX$3),LOC[Standort],0)))*IF(AQ11=3,1,IF(AQ11=2,0.75,IF(AQ11=1,0.5,0)))/AR11
+($N11*AO11*12)/AR11+($N11+$I11)*8*12*AT11/AR11
+ExchangeRate*$O11*(1+0.5*((1+AS11)^8-1))/AR11+($P11*AT11)
+ExchangeRate*$Q11*(AR11/4800)/AR11
),0)</f>
        <v>1.6754851596089027</v>
      </c>
    </row>
    <row r="12" spans="2:51">
      <c r="B12" s="1232" t="s">
        <v>4159</v>
      </c>
      <c r="C12" s="1233">
        <v>7973.3587568752009</v>
      </c>
      <c r="D12" s="1234">
        <v>7</v>
      </c>
      <c r="E12" s="1233">
        <v>0.2</v>
      </c>
      <c r="F12" s="1235">
        <v>0.5</v>
      </c>
      <c r="G12" s="1235">
        <v>0</v>
      </c>
      <c r="H12" s="1235">
        <v>0</v>
      </c>
      <c r="I12" s="1236">
        <v>9</v>
      </c>
      <c r="J12" s="201">
        <v>0.02</v>
      </c>
      <c r="K12" s="201">
        <v>3.7999999999999999E-2</v>
      </c>
      <c r="L12" s="1237">
        <v>332</v>
      </c>
      <c r="M12" s="1236">
        <v>268</v>
      </c>
      <c r="N12" s="1236">
        <v>6</v>
      </c>
      <c r="O12" s="1236">
        <v>462</v>
      </c>
      <c r="P12" s="1238">
        <v>1</v>
      </c>
      <c r="Q12" s="1236">
        <v>300</v>
      </c>
      <c r="R12" s="1135">
        <v>23.096</v>
      </c>
      <c r="S12" s="1236"/>
      <c r="T12" s="1236"/>
      <c r="U12" s="686">
        <f>MHR[[#This Row],[Invest (Input)]]*ExchangeRate</f>
        <v>7973.3587568752009</v>
      </c>
      <c r="V12" s="687">
        <f>MHR[[#This Row],[Strom]]*MHR[[#This Row],[Faktor
Strom]]</f>
        <v>0.1</v>
      </c>
      <c r="W12" s="687">
        <f>MHR[[#This Row],[Gas]]*MHR[[#This Row],[Faktor
Gas]]</f>
        <v>0</v>
      </c>
      <c r="X12" s="1236"/>
      <c r="Y12" s="1236"/>
      <c r="Z12" s="1236"/>
      <c r="AA12" s="1236"/>
      <c r="AB12" s="1236"/>
      <c r="AC12" s="1236"/>
      <c r="AD12" s="1236"/>
      <c r="AE12" s="1236"/>
      <c r="AF12" s="1239">
        <v>1000</v>
      </c>
      <c r="AG12" s="1239"/>
      <c r="AH12" s="1239" t="s">
        <v>332</v>
      </c>
      <c r="AI12" s="1240" t="str">
        <f>IF(ISERROR(MATCH(MHR[[#This Row],[Bezeichnung]],MHR_Used,0)),0,"X")</f>
        <v>X</v>
      </c>
      <c r="AJ12" s="1235" t="s">
        <v>4138</v>
      </c>
      <c r="AK12" s="1240" t="str">
        <f>IF(AND(MHR[[#This Row],[String]]&lt;&gt;"",_xlfn.CONCAT(MHR[[#This Row],[Bezeichnung]:[   ]])=MHR[[#This Row],[String]]),"X","C")</f>
        <v>X</v>
      </c>
      <c r="AL12" s="1241" t="s">
        <v>4160</v>
      </c>
      <c r="AM12" s="168">
        <f t="shared" si="0"/>
        <v>0.38351808289286055</v>
      </c>
      <c r="AN12" s="1242" cm="1">
        <f t="array" ref="AN12">IF(OR(AND(MHR[[#This Row],[ProdSpez]]="X",MHR[[#This Row],[X/O]]="X"),AND(MHR[[#This Row],[SpezBeMi]]="X",MHR[[#This Row],[X/O]]="X")),AR12/(AP12*AQ12*8),INDEX(Premises!$A$15:$F$15,1,AX$3)/100)</f>
        <v>0.8</v>
      </c>
      <c r="AO12" s="688" cm="1">
        <f t="array" ref="AO12">INDEX(Premises!$A$23:$F$23,1,AX$3)</f>
        <v>3.03</v>
      </c>
      <c r="AP12" s="1243" cm="1">
        <f t="array" ref="AP12">INDEX(Premises!$A$19:$F$19,1,AX$3)</f>
        <v>300</v>
      </c>
      <c r="AQ12" s="1243" cm="1">
        <f t="array" ref="AQ12">IF(ISBLANK(MHR[[#This Row],[Schichtmodell]]),INDEX(Premises!$A$20:$F$20,1,AX$3),MHR[[#This Row],[Schichtmodell]])</f>
        <v>3</v>
      </c>
      <c r="AR12" s="1243" cm="1">
        <f t="array" ref="AR12">IF(OR(AND(MHR[[#This Row],[ProdSpez]]="X",MHR[[#This Row],[X/O]]="X"),AND(MHR[[#This Row],[SpezBeMi]]="X",MHR[[#This Row],[X/O]]="X")),INDEX(Premises!$A$13:$F$13,1,AX$3)
*INDEX(Calculation!$F$11:$F$65,MATCH(MHR[[#This Row],[Bezeichnung]],MHR_Used,0))/IF(INDEX(Calculation!$G$11:$G$65,MATCH(MHR[[#This Row],[Bezeichnung]],MHR_Used,0))="s",3600,IF(INDEX(Calculation!$G$11:$G$65,MATCH(MHR[[#This Row],[Bezeichnung]],MHR_Used,0))="min",60,1))/INDEX(Calculation!$H$11:$H$65,MATCH(MHR[[#This Row],[Bezeichnung]],MHR_Used,0))/ROUNDUP(INDEX(Premises!$A$13:$F$13,1,AX$3)
*INDEX(Calculation!$F$11:$F$65,MATCH(MHR[[#This Row],[Bezeichnung]],MHR_Used,0))/IF(INDEX(Calculation!$G$11:$G$65,MATCH(MHR[[#This Row],[Bezeichnung]],MHR_Used,0))="s",3600,IF(INDEX(Calculation!$G$11:$G$65,MATCH(MHR[[#This Row],[Bezeichnung]],MHR_Used,0))="min",60,1))/INDEX(Calculation!$H$11:$H$65,MATCH(MHR[[#This Row],[Bezeichnung]],MHR_Used,0))/(AP12*AQ12*8),0),
AP12*8*AQ12*AN12)</f>
        <v>5760</v>
      </c>
      <c r="AS12" s="1244" cm="1">
        <f t="array" ref="AS12">INDEX(Premises!$A$26:$F$26,1,AX$3)/100</f>
        <v>3.7000000000000005E-2</v>
      </c>
      <c r="AT12" s="682" cm="1">
        <f t="array" ref="AT12">IF(INDEX(Settings[],MATCH(3011,Settings[ID],0),2)=1,INDEX(Premises!$A$55:$F$55,1,AX$3),
INDEX(Premises!$A$24:$F$24,1,AX$3))</f>
        <v>7.0000000000000007E-2</v>
      </c>
      <c r="AU12" s="682" cm="1">
        <f t="array" ref="AU12">INDEX(Premises!$A$25:$F$25,1,AX$3)</f>
        <v>0.02</v>
      </c>
      <c r="AV12" s="688">
        <f>IFERROR(IF(MHR[[#This Row],[SpezBeMi]]="X",($I12*AO12*12)/AR12,(($U12/$D12)+($U12*0.5*AS12)+($I12*AO12*12))/AR12),0)</f>
        <v>0.28017333124728522</v>
      </c>
      <c r="AW12" s="688">
        <f t="shared" si="1"/>
        <v>0.10334475164557533</v>
      </c>
      <c r="AX12" s="168" cm="1">
        <f t="array" ref="AX12">IFERROR((
(MHR[[#This Row],[Indirektes Personal H]]*INDEX(LOC[High-skilled],MATCH(INDEX(Premises!$A$18:$F$18,1,AX$3),LOC[Standort],0))+MHR[[#This Row],[Indirektes Personal U]]*INDEX(LOC[M3S],MATCH(INDEX(Premises!$A$18:$F$18,1,AX$3),LOC[Standort],0)))*IF(AQ12=3,1,IF(AQ12=2,0.75,IF(AQ12=1,0.5,0)))/AR12
+($N12*AO12*12)/AR12+($N12+$I12)*8*12*AT12/AR12
+ExchangeRate*$O12*(1+0.5*((1+AS12)^8-1))/AR12+($P12*AT12)
+ExchangeRate*$Q12*(AR12/4800)/AR12
),0)</f>
        <v>1.7500203399646117</v>
      </c>
    </row>
    <row r="13" spans="2:51">
      <c r="AM13" s="5"/>
    </row>
  </sheetData>
  <mergeCells count="3">
    <mergeCell ref="AM4:AX4"/>
    <mergeCell ref="B4:T4"/>
    <mergeCell ref="B2:AY2"/>
  </mergeCells>
  <phoneticPr fontId="36" type="noConversion"/>
  <dataValidations count="1">
    <dataValidation type="list" allowBlank="1" showInputMessage="1" showErrorMessage="1" sqref="AC7:AE12" xr:uid="{95BDC2D4-4A79-416C-A8D0-AC4CFA8C57D6}">
      <formula1>"X, "</formula1>
    </dataValidation>
  </dataValidations>
  <pageMargins left="0.39370078740157483" right="0.39370078740157483" top="0.98425196850393704" bottom="0.82677165354330717" header="0.51181102362204722" footer="0.51181102362204722"/>
  <pageSetup paperSize="9" fitToHeight="3" orientation="portrait" horizontalDpi="4294967293" verticalDpi="360" r:id="rId1"/>
  <headerFooter alignWithMargins="0">
    <oddFooter>&amp;CAWS Systemtechnik GmbH&amp;R&amp;9Seite &amp;P von &amp;N</oddFooter>
  </headerFooter>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MAT">
    <outlinePr summaryBelow="0" summaryRight="0"/>
  </sheetPr>
  <dimension ref="A1:AE10"/>
  <sheetViews>
    <sheetView showGridLines="0" showZeros="0" zoomScaleNormal="100" workbookViewId="0">
      <pane xSplit="2" ySplit="6" topLeftCell="C7" activePane="bottomRight" state="frozen"/>
      <selection activeCell="D355" sqref="D355"/>
      <selection pane="topRight" activeCell="D355" sqref="D355"/>
      <selection pane="bottomLeft" activeCell="D355" sqref="D355"/>
      <selection pane="bottomRight" activeCell="C16" sqref="C16"/>
    </sheetView>
  </sheetViews>
  <sheetFormatPr baseColWidth="10" defaultColWidth="11.42578125" defaultRowHeight="12.75" outlineLevelCol="2"/>
  <cols>
    <col min="1" max="1" width="1.7109375" style="5" customWidth="1"/>
    <col min="2" max="2" width="48.7109375" style="5" customWidth="1"/>
    <col min="3" max="3" width="30.7109375" style="5" customWidth="1"/>
    <col min="4" max="4" width="6.7109375" style="5" customWidth="1"/>
    <col min="5" max="5" width="12.7109375" style="4" customWidth="1"/>
    <col min="6" max="8" width="1.7109375" style="4" customWidth="1"/>
    <col min="9" max="9" width="12.7109375" style="4" customWidth="1" collapsed="1"/>
    <col min="10" max="11" width="9.7109375" style="178" hidden="1" customWidth="1" outlineLevel="2"/>
    <col min="12" max="12" width="9.7109375" style="5" hidden="1" customWidth="1" outlineLevel="1"/>
    <col min="13" max="13" width="9.7109375" style="42" hidden="1" customWidth="1" outlineLevel="1"/>
    <col min="14" max="14" width="9.7109375" style="41" hidden="1" customWidth="1" outlineLevel="1"/>
    <col min="15" max="15" width="10.140625" style="41" hidden="1" customWidth="1" outlineLevel="1"/>
    <col min="16" max="16" width="6.7109375" style="42" hidden="1" customWidth="1" outlineLevel="1"/>
    <col min="17" max="18" width="12.7109375" style="42" hidden="1" customWidth="1" outlineLevel="1"/>
    <col min="19" max="19" width="6.7109375" style="4" hidden="1" customWidth="1" outlineLevel="1"/>
    <col min="20" max="20" width="9.7109375" style="4" hidden="1" customWidth="1" outlineLevel="1"/>
    <col min="21" max="21" width="2.7109375" style="4" hidden="1" customWidth="1" outlineLevel="1"/>
    <col min="22" max="22" width="2.7109375" style="4" customWidth="1"/>
    <col min="23" max="23" width="12.7109375" style="42" customWidth="1" collapsed="1"/>
    <col min="24" max="29" width="12.7109375" style="42" hidden="1" customWidth="1" outlineLevel="1"/>
    <col min="30" max="30" width="12.7109375" style="5" customWidth="1"/>
    <col min="31" max="31" width="2.7109375" style="5" customWidth="1"/>
    <col min="32" max="16384" width="11.42578125" style="5"/>
  </cols>
  <sheetData>
    <row r="1" spans="1:31" ht="5.0999999999999996" customHeight="1">
      <c r="A1" s="203"/>
      <c r="B1" s="1305"/>
      <c r="C1" s="1305"/>
      <c r="D1" s="1305"/>
      <c r="E1" s="1305"/>
      <c r="F1" s="204"/>
      <c r="G1" s="204"/>
      <c r="H1" s="204"/>
      <c r="I1" s="204"/>
      <c r="J1" s="5"/>
      <c r="K1" s="5"/>
      <c r="M1" s="204"/>
      <c r="N1" s="205"/>
      <c r="O1" s="205"/>
      <c r="P1" s="204"/>
      <c r="Q1" s="204"/>
      <c r="R1" s="204"/>
      <c r="W1" s="4"/>
      <c r="X1" s="4"/>
      <c r="Y1" s="4"/>
      <c r="Z1" s="4"/>
      <c r="AA1" s="4"/>
      <c r="AB1" s="4"/>
      <c r="AC1" s="4"/>
      <c r="AD1" s="4"/>
    </row>
    <row r="2" spans="1:31" ht="25.5" customHeight="1">
      <c r="A2" s="203"/>
      <c r="B2" s="1309" t="s">
        <v>589</v>
      </c>
      <c r="C2" s="1309"/>
      <c r="D2" s="1309"/>
      <c r="E2" s="1309"/>
      <c r="F2" s="1309"/>
      <c r="G2" s="1309"/>
      <c r="H2" s="1309"/>
      <c r="I2" s="1309"/>
      <c r="J2" s="1309"/>
      <c r="K2" s="1309"/>
      <c r="L2" s="1309"/>
      <c r="M2" s="1309"/>
      <c r="N2" s="1309"/>
      <c r="O2" s="1309"/>
      <c r="P2" s="1309"/>
      <c r="Q2" s="1309"/>
      <c r="R2" s="1309"/>
      <c r="S2" s="1309"/>
      <c r="T2" s="1309"/>
      <c r="U2" s="1309"/>
      <c r="V2" s="1309"/>
      <c r="W2" s="1309"/>
      <c r="X2" s="1309"/>
      <c r="Y2" s="1309"/>
      <c r="Z2" s="1309"/>
      <c r="AA2" s="1309"/>
      <c r="AB2" s="1309"/>
      <c r="AC2" s="1309"/>
      <c r="AD2" s="1309"/>
      <c r="AE2" s="1309"/>
    </row>
    <row r="3" spans="1:31" s="210" customFormat="1" ht="4.5" customHeight="1">
      <c r="A3" s="206"/>
      <c r="B3" s="207"/>
      <c r="C3" s="207"/>
      <c r="D3" s="207"/>
      <c r="E3" s="207"/>
      <c r="F3" s="207"/>
      <c r="G3" s="207"/>
      <c r="H3" s="207"/>
      <c r="I3" s="207"/>
      <c r="J3" s="185"/>
      <c r="K3" s="185"/>
      <c r="L3" s="185"/>
      <c r="M3" s="207"/>
      <c r="N3" s="208"/>
      <c r="O3" s="208"/>
      <c r="P3" s="207"/>
      <c r="Q3" s="207"/>
      <c r="R3" s="207"/>
      <c r="S3" s="209"/>
      <c r="T3" s="209"/>
      <c r="U3" s="209"/>
      <c r="V3" s="209"/>
      <c r="W3" s="185">
        <f>(COLUMN()-COLUMN($W$3))/8+1</f>
        <v>1</v>
      </c>
      <c r="X3" s="185"/>
      <c r="Y3" s="185"/>
      <c r="Z3" s="185"/>
      <c r="AA3" s="185"/>
      <c r="AB3" s="185"/>
      <c r="AC3" s="185"/>
      <c r="AD3" s="185">
        <f>2+2*W3</f>
        <v>4</v>
      </c>
    </row>
    <row r="4" spans="1:31" s="215" customFormat="1" ht="13.5" customHeight="1">
      <c r="A4" s="211"/>
      <c r="B4" s="1304" t="s">
        <v>441</v>
      </c>
      <c r="C4" s="1304"/>
      <c r="D4" s="1304"/>
      <c r="E4" s="1304"/>
      <c r="F4" s="1304"/>
      <c r="G4" s="1304"/>
      <c r="H4" s="1304"/>
      <c r="I4" s="212"/>
      <c r="J4" s="1306" t="s">
        <v>1044</v>
      </c>
      <c r="K4" s="1307"/>
      <c r="L4" s="1308"/>
      <c r="M4" s="213"/>
      <c r="N4" s="214"/>
      <c r="O4" s="214"/>
      <c r="P4" s="213"/>
      <c r="Q4" s="213"/>
      <c r="R4" s="213"/>
      <c r="W4" s="1310">
        <f>INDEX(Premises!$10:$10,1,2+2*W$3)</f>
        <v>1</v>
      </c>
      <c r="X4" s="1311"/>
      <c r="Y4" s="1311"/>
      <c r="Z4" s="1311"/>
      <c r="AA4" s="1311"/>
      <c r="AB4" s="1311"/>
      <c r="AC4" s="1311"/>
      <c r="AD4" s="1312"/>
    </row>
    <row r="5" spans="1:31" s="2" customFormat="1" ht="25.5">
      <c r="A5" s="216"/>
      <c r="B5" s="688" t="s">
        <v>69</v>
      </c>
      <c r="C5" s="683" t="s">
        <v>2163</v>
      </c>
      <c r="D5" s="688" t="s">
        <v>71</v>
      </c>
      <c r="E5" s="689" t="str">
        <f>"Price 
["&amp;InputCurrency&amp;"/Unit] "</f>
        <v xml:space="preserve">Price 
[EUR/Unit] </v>
      </c>
      <c r="F5" s="684"/>
      <c r="G5" s="684"/>
      <c r="H5" s="684"/>
      <c r="I5" s="689" t="str">
        <f>"Price
["&amp;Currency&amp;"/Unit]"</f>
        <v>Price
[EUR/Unit]</v>
      </c>
      <c r="J5" s="688" t="s">
        <v>1219</v>
      </c>
      <c r="K5" s="688" t="s">
        <v>1220</v>
      </c>
      <c r="L5" s="658" t="s">
        <v>1221</v>
      </c>
      <c r="M5" s="682" t="s">
        <v>563</v>
      </c>
      <c r="N5" s="690" t="s">
        <v>2227</v>
      </c>
      <c r="O5" s="1032" t="s">
        <v>3238</v>
      </c>
      <c r="P5" s="691" t="s">
        <v>2225</v>
      </c>
      <c r="Q5" s="691" t="s">
        <v>2226</v>
      </c>
      <c r="R5" s="970" t="str">
        <f>"Preis X
["&amp;InputCurrency&amp;"/Einheit] "</f>
        <v xml:space="preserve">Preis X
[EUR/Einheit] </v>
      </c>
      <c r="S5" s="681" t="s">
        <v>79</v>
      </c>
      <c r="T5" s="681" t="s">
        <v>1222</v>
      </c>
      <c r="U5" s="681" t="s">
        <v>918</v>
      </c>
      <c r="V5" s="1029" t="s">
        <v>916</v>
      </c>
      <c r="W5" s="217" t="str">
        <f>"Annual costs
[" &amp; Currency &amp; "/Year]"</f>
        <v>Annual costs
[EUR/Year]</v>
      </c>
      <c r="X5" s="658" t="str">
        <f>"Purchasing
[" &amp; Currency &amp; "/Year]"</f>
        <v>Purchasing
[EUR/Year]</v>
      </c>
      <c r="Y5" s="658" t="str">
        <f>"Quality
[" &amp; Currency &amp; "/Year]"</f>
        <v>Quality
[EUR/Year]</v>
      </c>
      <c r="Z5" s="692" t="str">
        <f>"Stock movement
[" &amp; Currency &amp; "/Year]"</f>
        <v>Stock movement
[EUR/Year]</v>
      </c>
      <c r="AA5" s="693" t="str">
        <f>"Capital lockup
[" &amp; Currency &amp; "/Unit]"</f>
        <v>Capital lockup
[EUR/Unit]</v>
      </c>
      <c r="AB5" s="658" t="str">
        <f>"Insurance
[" &amp; Currency &amp; "/Unit]"</f>
        <v>Insurance
[EUR/Unit]</v>
      </c>
      <c r="AC5" s="658" t="str">
        <f>"Storage costs
[" &amp; Currency &amp; "/Unit]"</f>
        <v>Storage costs
[EUR/Unit]</v>
      </c>
      <c r="AD5" s="217" t="str">
        <f>"Costs per unit
[" &amp; Currency &amp; "/Unit]"</f>
        <v>Costs per unit
[EUR/Unit]</v>
      </c>
      <c r="AE5" s="684" t="s">
        <v>38</v>
      </c>
    </row>
    <row r="6" spans="1:31" s="200" customFormat="1" ht="4.5" customHeight="1">
      <c r="B6" s="218" t="s">
        <v>2</v>
      </c>
      <c r="C6" s="219" t="s">
        <v>2166</v>
      </c>
      <c r="D6" s="220" t="s">
        <v>59</v>
      </c>
      <c r="E6" s="221" t="s">
        <v>1262</v>
      </c>
      <c r="F6" s="221" t="s">
        <v>36</v>
      </c>
      <c r="G6" s="221" t="s">
        <v>37</v>
      </c>
      <c r="H6" s="221" t="s">
        <v>435</v>
      </c>
      <c r="I6" s="221" t="s">
        <v>11</v>
      </c>
      <c r="J6" s="220" t="s">
        <v>1034</v>
      </c>
      <c r="K6" s="220" t="s">
        <v>1035</v>
      </c>
      <c r="L6" s="220" t="s">
        <v>1037</v>
      </c>
      <c r="M6" s="222" t="s">
        <v>135</v>
      </c>
      <c r="N6" s="223" t="s">
        <v>1523</v>
      </c>
      <c r="O6" s="223" t="s">
        <v>3352</v>
      </c>
      <c r="P6" s="222" t="s">
        <v>2158</v>
      </c>
      <c r="Q6" s="222" t="s">
        <v>2157</v>
      </c>
      <c r="R6" s="222" t="s">
        <v>2590</v>
      </c>
      <c r="S6" s="197" t="s">
        <v>79</v>
      </c>
      <c r="T6" s="197" t="s">
        <v>917</v>
      </c>
      <c r="U6" s="197" t="s">
        <v>918</v>
      </c>
      <c r="V6" s="197" t="s">
        <v>916</v>
      </c>
      <c r="W6" s="220" t="s">
        <v>1154</v>
      </c>
      <c r="X6" s="224" t="s">
        <v>1042</v>
      </c>
      <c r="Y6" s="224" t="s">
        <v>1043</v>
      </c>
      <c r="Z6" s="225" t="s">
        <v>1150</v>
      </c>
      <c r="AA6" s="226" t="s">
        <v>1151</v>
      </c>
      <c r="AB6" s="224" t="s">
        <v>1152</v>
      </c>
      <c r="AC6" s="224" t="s">
        <v>1153</v>
      </c>
      <c r="AD6" s="224" t="s">
        <v>1155</v>
      </c>
      <c r="AE6" s="227" t="s">
        <v>38</v>
      </c>
    </row>
    <row r="7" spans="1:31">
      <c r="B7" s="1221" t="s">
        <v>4035</v>
      </c>
      <c r="C7" s="337" t="s">
        <v>962</v>
      </c>
      <c r="D7" s="337" t="s">
        <v>2088</v>
      </c>
      <c r="E7" s="1222">
        <f>'E-BOM PCB Main UI'!C3</f>
        <v>4.7198357810215521</v>
      </c>
      <c r="F7" s="337"/>
      <c r="G7" s="337"/>
      <c r="H7" s="337"/>
      <c r="I7" s="1223">
        <f>MAT[[#This Row],[Preis (Input)]]*ExchangeRate</f>
        <v>4.7198357810215521</v>
      </c>
      <c r="J7" s="1224">
        <f>IFERROR(IF(MAT[[#This Row],[Preis]]&lt;0,0,INDEX(MGK[EK],MATCH(MAT[[#This Row],[Materialklasse]],MGK[ID],0))),0)</f>
        <v>3.25</v>
      </c>
      <c r="K7" s="1224">
        <f>IFERROR(IF(MAT[[#This Row],[Preis]]&lt;0,0,INDEX(MGK[PI],MATCH(MAT[[#This Row],[Materialklasse]],MGK[ID],0))),0)</f>
        <v>1.7999999999999998</v>
      </c>
      <c r="L7" s="1224">
        <f>IFERROR(INDEX(MGK[LA],MATCH(MAT[[#This Row],[Materialklasse]],MGK[ID],0)),0)</f>
        <v>0.10416666666666667</v>
      </c>
      <c r="M7" s="515"/>
      <c r="N7" s="1225"/>
      <c r="O7" s="1225"/>
      <c r="P7" s="859"/>
      <c r="Q7" s="515"/>
      <c r="R7" s="515"/>
      <c r="S7" s="662" t="str">
        <f>IF(ISERROR(MATCH(MAT[[#This Row],[Bezeichnung]],MAT_Used,0)),0,"X")</f>
        <v>X</v>
      </c>
      <c r="T7" s="1226" t="s">
        <v>4042</v>
      </c>
      <c r="U7" s="662" t="str">
        <f>IF(AND(MAT[[#This Row],[String]]&lt;&gt;"",CONCATENATE(B7,C7,D7,ROUND(E7,3),F7,G7,H7,MAT[[#This Row],[Dichte]],MAT[[#This Row],[CO2]])=MAT[[#This Row],[String]]),"X","C")</f>
        <v>C</v>
      </c>
      <c r="V7" s="1227"/>
      <c r="W7" s="1228">
        <f>X7+Y7+Z7</f>
        <v>194.73743411458332</v>
      </c>
      <c r="X7" s="1229" cm="1">
        <f t="array" ref="X7">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60.409950520833334</v>
      </c>
      <c r="Y7" s="1229" cm="1">
        <f t="array" ref="Y7">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133.1343</v>
      </c>
      <c r="Z7" s="1229" cm="1">
        <f t="array" ref="Z7">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1.1931835937500002</v>
      </c>
      <c r="AA7" s="1230" cm="1">
        <f t="array" ref="AA7">IFERROR(MAX(0,INDEX(Premises!$26:$26,1,2+2*W$3)/100*INDEX(MGK[Lagerreichweite],MATCH(MAT[[#This Row],[Materialklasse]],MGK[ID],0))/52*MAT[[#This Row],[Preis]]),0)</f>
        <v>1.3433378761369033E-2</v>
      </c>
      <c r="AB7" s="1230">
        <f>IFERROR(MAX(0,INDEX(MGK[Lagerreichweite],MATCH(MAT[[#This Row],[Materialklasse]],MGK[ID],0))/52*12*0.26/1000*MAT[[#This Row],[Preis]]),0)</f>
        <v>1.1327605874451726E-3</v>
      </c>
      <c r="AC7" s="1229" cm="1">
        <f t="array" ref="AC7">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7,MGK[ID],0))+INDEX(Premises!$26:$26,1,2+2*W$3)/100*INDEX(MGK[L-Invest],MATCH($C7,MGK[ID],0))*0.5/(365*24)+INDEX(Premises!$24:$24,1,2+2*W$3)*INDEX(MGK[L-kWh],MATCH($C7,MGK[ID],0))+INDEX(Premises!$23:$23,1,2+2*W$3)*INDEX(MGK[L-m²],MATCH($C7,MGK[ID],0))*12/(365*24))),0)</f>
        <v>1.2725866666666669E-4</v>
      </c>
      <c r="AD7" s="1231">
        <f>AA7+AB7+AC7</f>
        <v>1.4693398015480872E-2</v>
      </c>
    </row>
    <row r="8" spans="1:31">
      <c r="B8" s="1221" t="s">
        <v>4034</v>
      </c>
      <c r="C8" s="337" t="s">
        <v>962</v>
      </c>
      <c r="D8" s="337" t="s">
        <v>2088</v>
      </c>
      <c r="E8" s="1222">
        <f>'E-BOM PCB UI'!C3</f>
        <v>9.7486676096252687</v>
      </c>
      <c r="F8" s="337"/>
      <c r="G8" s="337"/>
      <c r="H8" s="337"/>
      <c r="I8" s="1223">
        <f>MAT[[#This Row],[Preis (Input)]]*ExchangeRate</f>
        <v>9.7486676096252687</v>
      </c>
      <c r="J8" s="1224">
        <f>IFERROR(IF(MAT[[#This Row],[Preis]]&lt;0,0,INDEX(MGK[EK],MATCH(MAT[[#This Row],[Materialklasse]],MGK[ID],0))),0)</f>
        <v>3.25</v>
      </c>
      <c r="K8" s="1224">
        <f>IFERROR(IF(MAT[[#This Row],[Preis]]&lt;0,0,INDEX(MGK[PI],MATCH(MAT[[#This Row],[Materialklasse]],MGK[ID],0))),0)</f>
        <v>1.7999999999999998</v>
      </c>
      <c r="L8" s="1224">
        <f>IFERROR(INDEX(MGK[LA],MATCH(MAT[[#This Row],[Materialklasse]],MGK[ID],0)),0)</f>
        <v>0.10416666666666667</v>
      </c>
      <c r="M8" s="515"/>
      <c r="N8" s="1225"/>
      <c r="O8" s="1225"/>
      <c r="P8" s="859"/>
      <c r="Q8" s="515"/>
      <c r="R8" s="515"/>
      <c r="S8" s="662" t="str">
        <f>IF(ISERROR(MATCH(MAT[[#This Row],[Bezeichnung]],MAT_Used,0)),0,"X")</f>
        <v>X</v>
      </c>
      <c r="T8" s="1226" t="s">
        <v>4042</v>
      </c>
      <c r="U8" s="662" t="str">
        <f>IF(AND(MAT[[#This Row],[String]]&lt;&gt;"",CONCATENATE(B8,C8,D8,ROUND(E8,3),F8,G8,H8,MAT[[#This Row],[Dichte]],MAT[[#This Row],[CO2]])=MAT[[#This Row],[String]]),"X","C")</f>
        <v>C</v>
      </c>
      <c r="V8" s="1227"/>
      <c r="W8" s="1228">
        <f>X8+Y8+Z8</f>
        <v>194.73743411458332</v>
      </c>
      <c r="X8" s="1229" cm="1">
        <f t="array" ref="X8">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60.409950520833334</v>
      </c>
      <c r="Y8" s="1229" cm="1">
        <f t="array" ref="Y8">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133.1343</v>
      </c>
      <c r="Z8" s="1229" cm="1">
        <f t="array" ref="Z8">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1.1931835937500002</v>
      </c>
      <c r="AA8" s="1230" cm="1">
        <f t="array" ref="AA8">IFERROR(MAX(0,INDEX(Premises!$26:$26,1,2+2*W$3)/100*INDEX(MGK[Lagerreichweite],MATCH(MAT[[#This Row],[Materialklasse]],MGK[ID],0))/52*MAT[[#This Row],[Preis]]),0)</f>
        <v>2.7746207812010381E-2</v>
      </c>
      <c r="AB8" s="1230">
        <f>IFERROR(MAX(0,INDEX(MGK[Lagerreichweite],MATCH(MAT[[#This Row],[Materialklasse]],MGK[ID],0))/52*12*0.26/1000*MAT[[#This Row],[Preis]]),0)</f>
        <v>2.3396802263100647E-3</v>
      </c>
      <c r="AC8" s="1229" cm="1">
        <f t="array" ref="AC8">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8,MGK[ID],0))+INDEX(Premises!$26:$26,1,2+2*W$3)/100*INDEX(MGK[L-Invest],MATCH($C8,MGK[ID],0))*0.5/(365*24)+INDEX(Premises!$24:$24,1,2+2*W$3)*INDEX(MGK[L-kWh],MATCH($C8,MGK[ID],0))+INDEX(Premises!$23:$23,1,2+2*W$3)*INDEX(MGK[L-m²],MATCH($C8,MGK[ID],0))*12/(365*24))),0)</f>
        <v>1.2725866666666669E-4</v>
      </c>
      <c r="AD8" s="1231">
        <f>AA8+AB8+AC8</f>
        <v>3.0213146704987114E-2</v>
      </c>
    </row>
    <row r="9" spans="1:31">
      <c r="B9" s="1221" t="s">
        <v>4064</v>
      </c>
      <c r="C9" s="337" t="s">
        <v>962</v>
      </c>
      <c r="D9" s="337" t="s">
        <v>2088</v>
      </c>
      <c r="E9" s="1222">
        <f>'E-BOM PCB UI Middle'!C3</f>
        <v>9.352884190325797E-2</v>
      </c>
      <c r="F9" s="337"/>
      <c r="G9" s="337"/>
      <c r="H9" s="337"/>
      <c r="I9" s="1223">
        <f>MAT[[#This Row],[Preis (Input)]]*ExchangeRate</f>
        <v>9.352884190325797E-2</v>
      </c>
      <c r="J9" s="1224">
        <f>IFERROR(IF(MAT[[#This Row],[Preis]]&lt;0,0,INDEX(MGK[EK],MATCH(MAT[[#This Row],[Materialklasse]],MGK[ID],0))),0)</f>
        <v>3.25</v>
      </c>
      <c r="K9" s="1224">
        <f>IFERROR(IF(MAT[[#This Row],[Preis]]&lt;0,0,INDEX(MGK[PI],MATCH(MAT[[#This Row],[Materialklasse]],MGK[ID],0))),0)</f>
        <v>1.7999999999999998</v>
      </c>
      <c r="L9" s="1224">
        <f>IFERROR(INDEX(MGK[LA],MATCH(MAT[[#This Row],[Materialklasse]],MGK[ID],0)),0)</f>
        <v>0.10416666666666667</v>
      </c>
      <c r="M9" s="515"/>
      <c r="N9" s="1225"/>
      <c r="O9" s="1225"/>
      <c r="P9" s="859"/>
      <c r="Q9" s="515"/>
      <c r="R9" s="515"/>
      <c r="S9" s="662" t="str">
        <f>IF(ISERROR(MATCH(MAT[[#This Row],[Bezeichnung]],MAT_Used,0)),0,"X")</f>
        <v>X</v>
      </c>
      <c r="T9" s="1226" t="s">
        <v>4042</v>
      </c>
      <c r="U9" s="662" t="str">
        <f>IF(AND(MAT[[#This Row],[String]]&lt;&gt;"",CONCATENATE(B9,C9,D9,ROUND(E9,3),F9,G9,H9,MAT[[#This Row],[Dichte]],MAT[[#This Row],[CO2]])=MAT[[#This Row],[String]]),"X","C")</f>
        <v>C</v>
      </c>
      <c r="V9" s="1227"/>
      <c r="W9" s="1228">
        <f>X9+Y9+Z9</f>
        <v>194.73743411458332</v>
      </c>
      <c r="X9" s="1229" cm="1">
        <f t="array" ref="X9">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60.409950520833334</v>
      </c>
      <c r="Y9" s="1229" cm="1">
        <f t="array" ref="Y9">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133.1343</v>
      </c>
      <c r="Z9" s="1229" cm="1">
        <f t="array" ref="Z9">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1.1931835937500002</v>
      </c>
      <c r="AA9" s="1230" cm="1">
        <f t="array" ref="AA9">IFERROR(MAX(0,INDEX(Premises!$26:$26,1,2+2*W$3)/100*INDEX(MGK[Lagerreichweite],MATCH(MAT[[#This Row],[Materialklasse]],MGK[ID],0))/52*MAT[[#This Row],[Preis]]),0)</f>
        <v>2.6619747310927271E-4</v>
      </c>
      <c r="AB9" s="1230">
        <f>IFERROR(MAX(0,INDEX(MGK[Lagerreichweite],MATCH(MAT[[#This Row],[Materialklasse]],MGK[ID],0))/52*12*0.26/1000*MAT[[#This Row],[Preis]]),0)</f>
        <v>2.2446922056781914E-5</v>
      </c>
      <c r="AC9" s="1229" cm="1">
        <f t="array" ref="AC9">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9,MGK[ID],0))+INDEX(Premises!$26:$26,1,2+2*W$3)/100*INDEX(MGK[L-Invest],MATCH($C9,MGK[ID],0))*0.5/(365*24)+INDEX(Premises!$24:$24,1,2+2*W$3)*INDEX(MGK[L-kWh],MATCH($C9,MGK[ID],0))+INDEX(Premises!$23:$23,1,2+2*W$3)*INDEX(MGK[L-m²],MATCH($C9,MGK[ID],0))*12/(365*24))),0)</f>
        <v>1.2725866666666669E-4</v>
      </c>
      <c r="AD9" s="1231">
        <f>AA9+AB9+AC9</f>
        <v>4.1590306183272131E-4</v>
      </c>
    </row>
    <row r="10" spans="1:31">
      <c r="B10" s="1221" t="s">
        <v>4065</v>
      </c>
      <c r="C10" s="337" t="s">
        <v>962</v>
      </c>
      <c r="D10" s="337" t="s">
        <v>2088</v>
      </c>
      <c r="E10" s="1222">
        <f>'E-BOM PCB UI Upper'!C3</f>
        <v>2.3572328069219211</v>
      </c>
      <c r="F10" s="337"/>
      <c r="G10" s="337"/>
      <c r="H10" s="337"/>
      <c r="I10" s="1223">
        <f>MAT[[#This Row],[Preis (Input)]]*ExchangeRate</f>
        <v>2.3572328069219211</v>
      </c>
      <c r="J10" s="1224">
        <f>IFERROR(IF(MAT[[#This Row],[Preis]]&lt;0,0,INDEX(MGK[EK],MATCH(MAT[[#This Row],[Materialklasse]],MGK[ID],0))),0)</f>
        <v>3.25</v>
      </c>
      <c r="K10" s="1224">
        <f>IFERROR(IF(MAT[[#This Row],[Preis]]&lt;0,0,INDEX(MGK[PI],MATCH(MAT[[#This Row],[Materialklasse]],MGK[ID],0))),0)</f>
        <v>1.7999999999999998</v>
      </c>
      <c r="L10" s="1224">
        <f>IFERROR(INDEX(MGK[LA],MATCH(MAT[[#This Row],[Materialklasse]],MGK[ID],0)),0)</f>
        <v>0.10416666666666667</v>
      </c>
      <c r="M10" s="515"/>
      <c r="N10" s="1225"/>
      <c r="O10" s="1225"/>
      <c r="P10" s="859"/>
      <c r="Q10" s="515"/>
      <c r="R10" s="515"/>
      <c r="S10" s="662" t="str">
        <f>IF(ISERROR(MATCH(MAT[[#This Row],[Bezeichnung]],MAT_Used,0)),0,"X")</f>
        <v>X</v>
      </c>
      <c r="T10" s="1226" t="s">
        <v>4042</v>
      </c>
      <c r="U10" s="662" t="str">
        <f>IF(AND(MAT[[#This Row],[String]]&lt;&gt;"",CONCATENATE(B10,C10,D10,ROUND(E10,3),F10,G10,H10,MAT[[#This Row],[Dichte]],MAT[[#This Row],[CO2]])=MAT[[#This Row],[String]]),"X","C")</f>
        <v>C</v>
      </c>
      <c r="V10" s="1227"/>
      <c r="W10" s="1228">
        <f>X10+Y10+Z10</f>
        <v>194.73743411458332</v>
      </c>
      <c r="X10" s="1229" cm="1">
        <f t="array" ref="X10">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60.409950520833334</v>
      </c>
      <c r="Y10" s="1229" cm="1">
        <f t="array" ref="Y10">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133.1343</v>
      </c>
      <c r="Z10" s="1229" cm="1">
        <f t="array" ref="Z10">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1.1931835937500002</v>
      </c>
      <c r="AA10" s="1230" cm="1">
        <f t="array" ref="AA10">IFERROR(MAX(0,INDEX(Premises!$26:$26,1,2+2*W$3)/100*INDEX(MGK[Lagerreichweite],MATCH(MAT[[#This Row],[Materialklasse]],MGK[ID],0))/52*MAT[[#This Row],[Preis]]),0)</f>
        <v>6.7090472197008531E-3</v>
      </c>
      <c r="AB10" s="1230">
        <f>IFERROR(MAX(0,INDEX(MGK[Lagerreichweite],MATCH(MAT[[#This Row],[Materialklasse]],MGK[ID],0))/52*12*0.26/1000*MAT[[#This Row],[Preis]]),0)</f>
        <v>5.6573587366126111E-4</v>
      </c>
      <c r="AC10" s="1229" cm="1">
        <f t="array" ref="AC10">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10,MGK[ID],0))+INDEX(Premises!$26:$26,1,2+2*W$3)/100*INDEX(MGK[L-Invest],MATCH($C10,MGK[ID],0))*0.5/(365*24)+INDEX(Premises!$24:$24,1,2+2*W$3)*INDEX(MGK[L-kWh],MATCH($C10,MGK[ID],0))+INDEX(Premises!$23:$23,1,2+2*W$3)*INDEX(MGK[L-m²],MATCH($C10,MGK[ID],0))*12/(365*24))),0)</f>
        <v>1.2725866666666669E-4</v>
      </c>
      <c r="AD10" s="1231">
        <f>AA10+AB10+AC10</f>
        <v>7.4020417600287811E-3</v>
      </c>
    </row>
  </sheetData>
  <mergeCells count="5">
    <mergeCell ref="B1:E1"/>
    <mergeCell ref="B4:H4"/>
    <mergeCell ref="J4:L4"/>
    <mergeCell ref="B2:AE2"/>
    <mergeCell ref="W4:AD4"/>
  </mergeCells>
  <phoneticPr fontId="36" type="noConversion"/>
  <dataValidations count="2">
    <dataValidation type="list" allowBlank="1" showInputMessage="1" showErrorMessage="1" sqref="C7:C10" xr:uid="{49A3A611-67C4-4DFF-B2DA-13FD9C4EA6B3}">
      <formula1>MGK_Dropdown</formula1>
    </dataValidation>
    <dataValidation type="list" allowBlank="1" showInputMessage="1" showErrorMessage="1" sqref="P7:P10" xr:uid="{94865F74-3E7D-4790-BE5F-BF5AEC69A878}">
      <formula1>"01,02,03,04,05,06,07,08,09,10,11,12,13,14,15"</formula1>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xr:uid="{71A5DFA5-8E95-4B73-96E9-4AF0246A0B69}">
          <x14:formula1>
            <xm:f>Translation!$E$12:$E$17</xm:f>
          </x14:formula1>
          <xm:sqref>D7:D10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LOC">
    <outlinePr summaryBelow="0" summaryRight="0"/>
  </sheetPr>
  <dimension ref="B1:AX39"/>
  <sheetViews>
    <sheetView showGridLines="0" zoomScaleNormal="100" workbookViewId="0">
      <pane xSplit="2" ySplit="6" topLeftCell="C7" activePane="bottomRight" state="frozen"/>
      <selection activeCell="D355" sqref="D355"/>
      <selection pane="topRight" activeCell="D355" sqref="D355"/>
      <selection pane="bottomLeft" activeCell="D355" sqref="D355"/>
      <selection pane="bottomRight" activeCell="A7" sqref="A7:XFD7"/>
    </sheetView>
  </sheetViews>
  <sheetFormatPr baseColWidth="10" defaultColWidth="11.42578125" defaultRowHeight="12.75" outlineLevelCol="1"/>
  <cols>
    <col min="1" max="1" width="1.7109375" style="5" customWidth="1"/>
    <col min="2" max="2" width="30.7109375" style="5" customWidth="1"/>
    <col min="3" max="17" width="10.7109375" style="5" customWidth="1"/>
    <col min="18" max="19" width="10.7109375" style="229" customWidth="1"/>
    <col min="20" max="20" width="10.7109375" style="229" customWidth="1" collapsed="1"/>
    <col min="21" max="24" width="12.7109375" style="180" hidden="1" customWidth="1" outlineLevel="1"/>
    <col min="25" max="34" width="6.7109375" style="230" hidden="1" customWidth="1" outlineLevel="1"/>
    <col min="35" max="44" width="6.7109375" style="231" hidden="1" customWidth="1" outlineLevel="1"/>
    <col min="45" max="46" width="12.7109375" style="840" hidden="1" customWidth="1" outlineLevel="1"/>
    <col min="47" max="47" width="9.7109375" style="5" hidden="1" customWidth="1" outlineLevel="1"/>
    <col min="48" max="48" width="2.7109375" style="5" hidden="1" customWidth="1" outlineLevel="1"/>
    <col min="49" max="49" width="2.7109375" style="5" hidden="1" customWidth="1"/>
    <col min="50" max="50" width="2.7109375" style="5" customWidth="1"/>
    <col min="51" max="51" width="10.7109375" style="5" customWidth="1"/>
    <col min="52" max="52" width="1.7109375" style="5" customWidth="1"/>
    <col min="53" max="53" width="0.140625" style="5" customWidth="1"/>
    <col min="54" max="16384" width="11.42578125" style="5"/>
  </cols>
  <sheetData>
    <row r="1" spans="2:50" ht="5.0999999999999996" customHeight="1"/>
    <row r="2" spans="2:50" s="2" customFormat="1" ht="25.5" customHeight="1">
      <c r="B2" s="1300" t="s">
        <v>590</v>
      </c>
      <c r="C2" s="1301"/>
      <c r="D2" s="1301"/>
      <c r="E2" s="1301"/>
      <c r="F2" s="1301"/>
      <c r="G2" s="1301"/>
      <c r="H2" s="1301"/>
      <c r="I2" s="1301"/>
      <c r="J2" s="1301"/>
      <c r="K2" s="1301"/>
      <c r="L2" s="1301"/>
      <c r="M2" s="1301"/>
      <c r="N2" s="1301"/>
      <c r="O2" s="1301"/>
      <c r="P2" s="1301"/>
      <c r="Q2" s="1301"/>
      <c r="R2" s="1301"/>
      <c r="S2" s="1301"/>
      <c r="T2" s="1301"/>
      <c r="U2" s="1301"/>
      <c r="V2" s="1301"/>
      <c r="W2" s="1301"/>
      <c r="X2" s="1301"/>
      <c r="Y2" s="1301"/>
      <c r="Z2" s="1301"/>
      <c r="AA2" s="1301"/>
      <c r="AB2" s="1301"/>
      <c r="AC2" s="1301"/>
      <c r="AD2" s="1301"/>
      <c r="AE2" s="1301"/>
      <c r="AF2" s="1301"/>
      <c r="AG2" s="1301"/>
      <c r="AH2" s="1301"/>
      <c r="AI2" s="1301"/>
      <c r="AJ2" s="1301"/>
      <c r="AK2" s="1301"/>
      <c r="AL2" s="1301"/>
      <c r="AM2" s="1301"/>
      <c r="AN2" s="1301"/>
      <c r="AO2" s="1301"/>
      <c r="AP2" s="1301"/>
      <c r="AQ2" s="1301"/>
      <c r="AR2" s="1301"/>
      <c r="AS2" s="1301"/>
      <c r="AT2" s="1301"/>
      <c r="AU2" s="1301"/>
      <c r="AV2" s="1301"/>
      <c r="AW2" s="1301"/>
      <c r="AX2" s="1301"/>
    </row>
    <row r="3" spans="2:50" ht="5.0999999999999996" customHeight="1"/>
    <row r="4" spans="2:50" s="13" customFormat="1" ht="13.5" customHeight="1">
      <c r="B4" s="1313" t="s">
        <v>441</v>
      </c>
      <c r="C4" s="1314"/>
      <c r="D4" s="1314"/>
      <c r="E4" s="1314"/>
      <c r="F4" s="1314"/>
      <c r="G4" s="1314"/>
      <c r="H4" s="1314"/>
      <c r="I4" s="1314"/>
      <c r="J4" s="1314"/>
      <c r="K4" s="1314"/>
      <c r="L4" s="1314"/>
      <c r="M4" s="1314"/>
      <c r="N4" s="1314"/>
      <c r="O4" s="1314"/>
      <c r="P4" s="1314"/>
      <c r="Q4" s="1314"/>
      <c r="R4" s="1314"/>
      <c r="S4" s="1314"/>
      <c r="T4" s="1315"/>
      <c r="U4" s="2"/>
      <c r="V4" s="2"/>
      <c r="W4" s="2"/>
      <c r="X4" s="2"/>
      <c r="Y4" s="1316"/>
      <c r="Z4" s="1316"/>
      <c r="AA4" s="1316"/>
      <c r="AB4" s="1316"/>
      <c r="AC4" s="1316"/>
      <c r="AD4" s="1316"/>
      <c r="AE4" s="1316"/>
      <c r="AF4" s="1316"/>
      <c r="AG4" s="1316"/>
      <c r="AH4" s="1316"/>
      <c r="AI4" s="1317"/>
      <c r="AJ4" s="1317"/>
      <c r="AK4" s="1317"/>
      <c r="AL4" s="1317"/>
      <c r="AM4" s="1317"/>
      <c r="AN4" s="1317"/>
      <c r="AO4" s="1317"/>
      <c r="AP4" s="1317"/>
      <c r="AQ4" s="1317"/>
      <c r="AR4" s="1317"/>
      <c r="AS4" s="841"/>
      <c r="AT4" s="841"/>
    </row>
    <row r="5" spans="2:50" s="6" customFormat="1" ht="25.5" customHeight="1">
      <c r="B5" s="680" t="s">
        <v>69</v>
      </c>
      <c r="C5" s="680" t="str">
        <f>"Unskilled
1 shift [" &amp; InputCurrency &amp; "]"</f>
        <v>Unskilled
1 shift [EUR]</v>
      </c>
      <c r="D5" s="680" t="str">
        <f>"Skilled
1 shift [" &amp; InputCurrency &amp; "]"</f>
        <v>Skilled
1 shift [EUR]</v>
      </c>
      <c r="E5" s="680" t="str">
        <f>"Unskilled
2 shift [" &amp; InputCurrency &amp; "]"</f>
        <v>Unskilled
2 shift [EUR]</v>
      </c>
      <c r="F5" s="680" t="str">
        <f>"Skilled
2 shift [" &amp; InputCurrency &amp; "]"</f>
        <v>Skilled
2 shift [EUR]</v>
      </c>
      <c r="G5" s="680" t="str">
        <f>"Unskilled
3 shift [" &amp; InputCurrency &amp; "]"</f>
        <v>Unskilled
3 shift [EUR]</v>
      </c>
      <c r="H5" s="680" t="str">
        <f>"Skilled
3 shift [" &amp; InputCurrency &amp; "]"</f>
        <v>Skilled
3 shift [EUR]</v>
      </c>
      <c r="I5" s="680" t="s">
        <v>572</v>
      </c>
      <c r="J5" s="696" t="s">
        <v>573</v>
      </c>
      <c r="K5" s="680" t="str">
        <f>"High-skilled
[" &amp; InputCurrency &amp; "]"</f>
        <v>High-skilled
[EUR]</v>
      </c>
      <c r="L5" s="680" t="s">
        <v>574</v>
      </c>
      <c r="M5" s="680" t="str">
        <f>"Monthly rent 
[" &amp; InputCurrency &amp; "/m²]"</f>
        <v>Monthly rent 
[EUR/m²]</v>
      </c>
      <c r="N5" s="680" t="str">
        <f>"Electricity 
[" &amp; InputCurrency &amp; "/kWh]"</f>
        <v>Electricity 
[EUR/kWh]</v>
      </c>
      <c r="O5" s="680" t="str">
        <f>"Natural gas 
[" &amp; InputCurrency &amp; "/kWh]"</f>
        <v>Natural gas 
[EUR/kWh]</v>
      </c>
      <c r="P5" s="680" t="s">
        <v>552</v>
      </c>
      <c r="Q5" s="680" t="s">
        <v>553</v>
      </c>
      <c r="R5" s="680" t="s">
        <v>2483</v>
      </c>
      <c r="S5" s="680" t="s">
        <v>3200</v>
      </c>
      <c r="T5" s="680" t="s">
        <v>3250</v>
      </c>
      <c r="U5" s="672" t="s">
        <v>2124</v>
      </c>
      <c r="V5" s="672" t="s">
        <v>2125</v>
      </c>
      <c r="W5" s="672" t="s">
        <v>2143</v>
      </c>
      <c r="X5" s="680" t="str">
        <f>"Dieselpreis
[" &amp; InputCurrency &amp; "/kWh]"</f>
        <v>Dieselpreis
[EUR/kWh]</v>
      </c>
      <c r="Y5" s="1318" t="s">
        <v>2149</v>
      </c>
      <c r="Z5" s="1319"/>
      <c r="AA5" s="1319"/>
      <c r="AB5" s="1319"/>
      <c r="AC5" s="1319"/>
      <c r="AD5" s="1319"/>
      <c r="AE5" s="1319"/>
      <c r="AF5" s="1319"/>
      <c r="AG5" s="1319"/>
      <c r="AH5" s="1320"/>
      <c r="AI5" s="1318" t="s">
        <v>2155</v>
      </c>
      <c r="AJ5" s="1319"/>
      <c r="AK5" s="1319"/>
      <c r="AL5" s="1319"/>
      <c r="AM5" s="1319"/>
      <c r="AN5" s="1319"/>
      <c r="AO5" s="1319"/>
      <c r="AP5" s="1319"/>
      <c r="AQ5" s="1319"/>
      <c r="AR5" s="1320"/>
      <c r="AS5" s="822" t="s">
        <v>2447</v>
      </c>
      <c r="AT5" s="822" t="s">
        <v>2448</v>
      </c>
      <c r="AU5" s="680" t="s">
        <v>1222</v>
      </c>
      <c r="AV5" s="680" t="s">
        <v>918</v>
      </c>
      <c r="AW5" s="680" t="s">
        <v>916</v>
      </c>
      <c r="AX5" s="689" t="s">
        <v>38</v>
      </c>
    </row>
    <row r="6" spans="2:50" s="200" customFormat="1" ht="4.5" customHeight="1">
      <c r="B6" s="232" t="s">
        <v>23</v>
      </c>
      <c r="C6" s="233" t="s">
        <v>3253</v>
      </c>
      <c r="D6" s="233" t="s">
        <v>3254</v>
      </c>
      <c r="E6" s="233" t="s">
        <v>3255</v>
      </c>
      <c r="F6" s="233" t="s">
        <v>3256</v>
      </c>
      <c r="G6" s="233" t="s">
        <v>3257</v>
      </c>
      <c r="H6" s="233" t="s">
        <v>3258</v>
      </c>
      <c r="I6" s="233" t="s">
        <v>3259</v>
      </c>
      <c r="J6" s="234" t="s">
        <v>3260</v>
      </c>
      <c r="K6" s="233" t="s">
        <v>578</v>
      </c>
      <c r="L6" s="233" t="s">
        <v>90</v>
      </c>
      <c r="M6" s="233" t="s">
        <v>454</v>
      </c>
      <c r="N6" s="233" t="s">
        <v>21</v>
      </c>
      <c r="O6" s="233" t="s">
        <v>587</v>
      </c>
      <c r="P6" s="233" t="s">
        <v>45</v>
      </c>
      <c r="Q6" s="233" t="s">
        <v>24</v>
      </c>
      <c r="R6" s="233" t="s">
        <v>1117</v>
      </c>
      <c r="S6" s="233" t="s">
        <v>3201</v>
      </c>
      <c r="T6" s="233" t="s">
        <v>3250</v>
      </c>
      <c r="U6" s="233" t="s">
        <v>2124</v>
      </c>
      <c r="V6" s="233" t="s">
        <v>2125</v>
      </c>
      <c r="W6" s="233" t="s">
        <v>2123</v>
      </c>
      <c r="X6" s="233" t="s">
        <v>2660</v>
      </c>
      <c r="Y6" s="235" t="s">
        <v>2650</v>
      </c>
      <c r="Z6" s="235" t="s">
        <v>2651</v>
      </c>
      <c r="AA6" s="235" t="s">
        <v>2652</v>
      </c>
      <c r="AB6" s="235" t="s">
        <v>2653</v>
      </c>
      <c r="AC6" s="235" t="s">
        <v>2654</v>
      </c>
      <c r="AD6" s="235" t="s">
        <v>2655</v>
      </c>
      <c r="AE6" s="235" t="s">
        <v>2656</v>
      </c>
      <c r="AF6" s="235" t="s">
        <v>2657</v>
      </c>
      <c r="AG6" s="235" t="s">
        <v>2658</v>
      </c>
      <c r="AH6" s="235" t="s">
        <v>2659</v>
      </c>
      <c r="AI6" s="236" t="s">
        <v>2048</v>
      </c>
      <c r="AJ6" s="236" t="s">
        <v>2049</v>
      </c>
      <c r="AK6" s="236" t="s">
        <v>2050</v>
      </c>
      <c r="AL6" s="236" t="s">
        <v>2051</v>
      </c>
      <c r="AM6" s="236" t="s">
        <v>2053</v>
      </c>
      <c r="AN6" s="236" t="s">
        <v>2052</v>
      </c>
      <c r="AO6" s="236" t="s">
        <v>2054</v>
      </c>
      <c r="AP6" s="236" t="s">
        <v>2055</v>
      </c>
      <c r="AQ6" s="236" t="s">
        <v>2056</v>
      </c>
      <c r="AR6" s="236" t="s">
        <v>2057</v>
      </c>
      <c r="AS6" s="842" t="s">
        <v>2449</v>
      </c>
      <c r="AT6" s="842" t="s">
        <v>2450</v>
      </c>
      <c r="AU6" s="197" t="s">
        <v>917</v>
      </c>
      <c r="AV6" s="197" t="s">
        <v>918</v>
      </c>
      <c r="AW6" s="197" t="s">
        <v>916</v>
      </c>
    </row>
    <row r="7" spans="2:50" ht="13.9" customHeight="1">
      <c r="B7" s="237" t="s">
        <v>4037</v>
      </c>
      <c r="C7" s="154">
        <v>8.9600000000000009</v>
      </c>
      <c r="D7" s="154">
        <v>12.6</v>
      </c>
      <c r="E7" s="154">
        <v>8.9600000000000009</v>
      </c>
      <c r="F7" s="154">
        <v>12.6</v>
      </c>
      <c r="G7" s="154">
        <v>9.41</v>
      </c>
      <c r="H7" s="154">
        <v>13.23</v>
      </c>
      <c r="I7" s="238">
        <v>0</v>
      </c>
      <c r="J7" s="238">
        <v>0.05</v>
      </c>
      <c r="K7" s="154">
        <v>17.88</v>
      </c>
      <c r="L7" s="154" t="s">
        <v>4038</v>
      </c>
      <c r="M7" s="154">
        <v>3.03</v>
      </c>
      <c r="N7" s="154">
        <v>7.0000000000000007E-2</v>
      </c>
      <c r="O7" s="154">
        <v>0.02</v>
      </c>
      <c r="P7" s="1217">
        <v>3.7</v>
      </c>
      <c r="Q7" s="146" t="s">
        <v>4039</v>
      </c>
      <c r="R7" s="239">
        <v>300</v>
      </c>
      <c r="S7" s="239"/>
      <c r="T7" s="239" t="s">
        <v>4040</v>
      </c>
      <c r="U7" s="1218">
        <v>31.440387000000001</v>
      </c>
      <c r="V7" s="1218">
        <v>114.91974</v>
      </c>
      <c r="W7" s="1219">
        <v>725</v>
      </c>
      <c r="X7" s="964">
        <v>1.131</v>
      </c>
      <c r="Y7" s="163">
        <v>910.5</v>
      </c>
      <c r="Z7" s="163">
        <v>893</v>
      </c>
      <c r="AA7" s="163">
        <v>479.5</v>
      </c>
      <c r="AB7" s="163">
        <v>14</v>
      </c>
      <c r="AC7" s="240">
        <v>11.666666666666666</v>
      </c>
      <c r="AD7" s="240">
        <v>24</v>
      </c>
      <c r="AE7" s="240">
        <v>45</v>
      </c>
      <c r="AF7" s="240">
        <v>230</v>
      </c>
      <c r="AG7" s="240">
        <v>41.5</v>
      </c>
      <c r="AH7" s="163">
        <v>19.5</v>
      </c>
      <c r="AI7" s="241">
        <v>0.6462</v>
      </c>
      <c r="AJ7" s="241">
        <v>1.4E-3</v>
      </c>
      <c r="AK7" s="241">
        <v>3.3300000000000003E-2</v>
      </c>
      <c r="AL7" s="241">
        <v>4.6399999999999997E-2</v>
      </c>
      <c r="AM7" s="242">
        <v>5.3999999999999999E-2</v>
      </c>
      <c r="AN7" s="242">
        <v>0.1731</v>
      </c>
      <c r="AO7" s="242">
        <v>2.98E-2</v>
      </c>
      <c r="AP7" s="242">
        <v>1.5800000000000002E-2</v>
      </c>
      <c r="AQ7" s="242">
        <v>0</v>
      </c>
      <c r="AR7" s="241">
        <v>0</v>
      </c>
      <c r="AS7" s="843">
        <v>25</v>
      </c>
      <c r="AT7" s="843">
        <v>25</v>
      </c>
      <c r="AU7" s="239" t="s">
        <v>4042</v>
      </c>
      <c r="AV7" s="188" t="str">
        <f>IF(AND(LOC[[#This Row],[String]]&lt;&gt;"",_xlfn.CONCAT(LOC[[#This Row],[Standort]:[ETS]])=LOC[[#This Row],[String]]),"X","C")</f>
        <v>X</v>
      </c>
      <c r="AW7" s="188" t="s">
        <v>4041</v>
      </c>
    </row>
    <row r="8" spans="2:50">
      <c r="R8" s="5"/>
      <c r="S8" s="5"/>
      <c r="T8" s="5"/>
      <c r="U8" s="4"/>
      <c r="V8" s="4"/>
      <c r="W8" s="4"/>
      <c r="X8" s="4"/>
      <c r="Y8" s="175"/>
      <c r="Z8" s="175"/>
      <c r="AA8" s="175"/>
      <c r="AB8" s="175"/>
      <c r="AC8" s="175"/>
      <c r="AD8" s="175"/>
      <c r="AE8" s="175"/>
      <c r="AF8" s="175"/>
      <c r="AG8" s="175"/>
      <c r="AH8" s="175"/>
      <c r="AI8" s="243"/>
      <c r="AJ8" s="243"/>
      <c r="AK8" s="243"/>
      <c r="AL8" s="243"/>
      <c r="AM8" s="243"/>
      <c r="AN8" s="243"/>
      <c r="AO8" s="243"/>
      <c r="AP8" s="243"/>
      <c r="AQ8" s="243"/>
      <c r="AR8" s="243"/>
      <c r="AS8" s="844"/>
      <c r="AT8" s="844"/>
    </row>
    <row r="9" spans="2:50">
      <c r="R9" s="5"/>
      <c r="S9" s="5"/>
      <c r="T9" s="5"/>
      <c r="U9" s="4"/>
      <c r="V9" s="4"/>
      <c r="W9" s="4"/>
      <c r="X9" s="4"/>
      <c r="Y9" s="175"/>
      <c r="Z9" s="175"/>
      <c r="AA9" s="175"/>
      <c r="AB9" s="175"/>
      <c r="AC9" s="175"/>
      <c r="AD9" s="175"/>
      <c r="AE9" s="175"/>
      <c r="AF9" s="175"/>
      <c r="AG9" s="175"/>
      <c r="AH9" s="175"/>
      <c r="AI9" s="243"/>
      <c r="AJ9" s="243"/>
      <c r="AK9" s="243"/>
      <c r="AL9" s="243"/>
      <c r="AM9" s="243"/>
      <c r="AN9" s="243"/>
      <c r="AO9" s="243"/>
      <c r="AP9" s="243"/>
      <c r="AQ9" s="243"/>
      <c r="AR9" s="243"/>
      <c r="AS9" s="844"/>
      <c r="AT9" s="844"/>
    </row>
    <row r="10" spans="2:50">
      <c r="R10" s="5"/>
      <c r="S10" s="5"/>
      <c r="T10" s="5"/>
      <c r="U10" s="4"/>
      <c r="V10" s="4"/>
      <c r="W10" s="4"/>
      <c r="X10" s="4"/>
      <c r="Y10" s="175"/>
      <c r="Z10" s="175"/>
      <c r="AA10" s="175"/>
      <c r="AB10" s="175"/>
      <c r="AC10" s="175"/>
      <c r="AD10" s="175"/>
      <c r="AE10" s="175"/>
      <c r="AF10" s="175"/>
      <c r="AG10" s="175"/>
      <c r="AH10" s="175"/>
      <c r="AI10" s="243"/>
      <c r="AJ10" s="243"/>
      <c r="AK10" s="243"/>
      <c r="AL10" s="243"/>
      <c r="AM10" s="243"/>
      <c r="AN10" s="243"/>
      <c r="AO10" s="243"/>
      <c r="AP10" s="243"/>
      <c r="AQ10" s="243"/>
      <c r="AR10" s="243"/>
      <c r="AS10" s="844"/>
      <c r="AT10" s="844"/>
    </row>
    <row r="11" spans="2:50">
      <c r="R11" s="5"/>
      <c r="S11" s="5"/>
      <c r="T11" s="5"/>
      <c r="U11" s="4"/>
      <c r="V11" s="4"/>
      <c r="W11" s="4"/>
      <c r="X11" s="4"/>
      <c r="Y11" s="175"/>
      <c r="Z11" s="175"/>
      <c r="AA11" s="175"/>
      <c r="AB11" s="175"/>
      <c r="AC11" s="175"/>
      <c r="AD11" s="175"/>
      <c r="AE11" s="175"/>
      <c r="AF11" s="175"/>
      <c r="AG11" s="175"/>
      <c r="AH11" s="175"/>
      <c r="AI11" s="243"/>
      <c r="AJ11" s="243"/>
      <c r="AK11" s="243"/>
      <c r="AL11" s="243"/>
      <c r="AM11" s="243"/>
      <c r="AN11" s="243"/>
      <c r="AO11" s="243"/>
      <c r="AP11" s="243"/>
      <c r="AQ11" s="243"/>
      <c r="AR11" s="243"/>
      <c r="AS11" s="844"/>
      <c r="AT11" s="844"/>
    </row>
    <row r="12" spans="2:50">
      <c r="R12" s="5"/>
      <c r="S12" s="5"/>
      <c r="T12" s="5"/>
      <c r="U12" s="4"/>
      <c r="V12" s="4"/>
      <c r="W12" s="4"/>
      <c r="X12" s="4"/>
      <c r="Y12" s="175"/>
      <c r="Z12" s="175"/>
      <c r="AA12" s="175"/>
      <c r="AB12" s="175"/>
      <c r="AC12" s="175"/>
      <c r="AD12" s="175"/>
      <c r="AE12" s="175"/>
      <c r="AF12" s="175"/>
      <c r="AG12" s="175"/>
      <c r="AH12" s="175"/>
      <c r="AI12" s="243"/>
      <c r="AJ12" s="243"/>
      <c r="AK12" s="243"/>
      <c r="AL12" s="243"/>
      <c r="AM12" s="243"/>
      <c r="AN12" s="243"/>
      <c r="AO12" s="243"/>
      <c r="AP12" s="243"/>
      <c r="AQ12" s="243"/>
      <c r="AR12" s="243"/>
      <c r="AS12" s="844"/>
      <c r="AT12" s="844"/>
    </row>
    <row r="13" spans="2:50">
      <c r="R13" s="5"/>
      <c r="S13" s="5"/>
      <c r="T13" s="5"/>
      <c r="U13" s="4"/>
      <c r="V13" s="4"/>
      <c r="W13" s="4"/>
      <c r="X13" s="4"/>
      <c r="Y13" s="175"/>
      <c r="Z13" s="175"/>
      <c r="AA13" s="175"/>
      <c r="AB13" s="175"/>
      <c r="AC13" s="175"/>
      <c r="AD13" s="175"/>
      <c r="AE13" s="175"/>
      <c r="AF13" s="175"/>
      <c r="AG13" s="175"/>
      <c r="AH13" s="175"/>
      <c r="AI13" s="243"/>
      <c r="AJ13" s="243"/>
      <c r="AK13" s="243"/>
      <c r="AL13" s="243"/>
      <c r="AM13" s="243"/>
      <c r="AN13" s="243"/>
      <c r="AO13" s="243"/>
      <c r="AP13" s="243"/>
      <c r="AQ13" s="243"/>
      <c r="AR13" s="243"/>
      <c r="AS13" s="844"/>
      <c r="AT13" s="844"/>
    </row>
    <row r="14" spans="2:50">
      <c r="R14" s="5"/>
      <c r="S14" s="5"/>
      <c r="T14" s="5"/>
      <c r="U14" s="4"/>
      <c r="V14" s="4"/>
      <c r="W14" s="4"/>
      <c r="X14" s="4"/>
      <c r="Y14" s="244"/>
      <c r="Z14" s="244"/>
      <c r="AA14" s="244"/>
      <c r="AB14" s="244"/>
      <c r="AC14" s="244"/>
      <c r="AD14" s="244"/>
      <c r="AE14" s="244"/>
      <c r="AF14" s="244"/>
      <c r="AG14" s="244"/>
      <c r="AH14" s="244"/>
      <c r="AI14" s="243"/>
      <c r="AJ14" s="243"/>
      <c r="AK14" s="243"/>
      <c r="AL14" s="243"/>
      <c r="AM14" s="243"/>
      <c r="AN14" s="243"/>
      <c r="AO14" s="243"/>
      <c r="AP14" s="243"/>
      <c r="AQ14" s="243"/>
      <c r="AR14" s="243"/>
      <c r="AS14" s="844"/>
      <c r="AT14" s="844"/>
    </row>
    <row r="15" spans="2:50">
      <c r="R15" s="5"/>
      <c r="S15" s="5"/>
      <c r="T15" s="5"/>
      <c r="U15" s="4"/>
      <c r="V15" s="4"/>
      <c r="W15" s="4"/>
      <c r="X15" s="4"/>
      <c r="Y15" s="175"/>
      <c r="Z15" s="175"/>
      <c r="AA15" s="175"/>
      <c r="AB15" s="175"/>
      <c r="AC15" s="175"/>
      <c r="AD15" s="175"/>
      <c r="AE15" s="175"/>
      <c r="AF15" s="175"/>
      <c r="AG15" s="175"/>
      <c r="AH15" s="175"/>
      <c r="AI15" s="243"/>
      <c r="AJ15" s="243"/>
      <c r="AK15" s="243"/>
      <c r="AL15" s="243"/>
      <c r="AM15" s="243"/>
      <c r="AN15" s="243"/>
      <c r="AO15" s="243"/>
      <c r="AP15" s="243"/>
      <c r="AQ15" s="243"/>
      <c r="AR15" s="243"/>
      <c r="AS15" s="844"/>
      <c r="AT15" s="844"/>
    </row>
    <row r="16" spans="2:50">
      <c r="R16" s="5"/>
      <c r="S16" s="5"/>
      <c r="T16" s="5"/>
      <c r="U16" s="4"/>
      <c r="V16" s="4"/>
      <c r="W16" s="4"/>
      <c r="X16" s="4"/>
      <c r="Y16" s="175"/>
      <c r="Z16" s="175"/>
      <c r="AA16" s="175"/>
      <c r="AB16" s="175"/>
      <c r="AC16" s="175"/>
      <c r="AD16" s="175"/>
      <c r="AE16" s="175"/>
      <c r="AF16" s="175"/>
      <c r="AG16" s="175"/>
      <c r="AH16" s="175"/>
      <c r="AI16" s="243"/>
      <c r="AJ16" s="243"/>
      <c r="AK16" s="243"/>
      <c r="AL16" s="243"/>
      <c r="AM16" s="243"/>
      <c r="AN16" s="243"/>
      <c r="AO16" s="243"/>
      <c r="AP16" s="243"/>
      <c r="AQ16" s="243"/>
      <c r="AR16" s="243"/>
      <c r="AS16" s="844"/>
      <c r="AT16" s="844"/>
    </row>
    <row r="17" spans="18:46">
      <c r="R17" s="5"/>
      <c r="S17" s="5"/>
      <c r="T17" s="5"/>
      <c r="U17" s="4"/>
      <c r="V17" s="4"/>
      <c r="W17" s="4"/>
      <c r="X17" s="4"/>
      <c r="Y17" s="175"/>
      <c r="Z17" s="175"/>
      <c r="AA17" s="175"/>
      <c r="AB17" s="175"/>
      <c r="AC17" s="175"/>
      <c r="AD17" s="175"/>
      <c r="AE17" s="175"/>
      <c r="AF17" s="175"/>
      <c r="AG17" s="175"/>
      <c r="AH17" s="175"/>
      <c r="AI17" s="243"/>
      <c r="AJ17" s="243"/>
      <c r="AK17" s="243"/>
      <c r="AL17" s="243"/>
      <c r="AM17" s="243"/>
      <c r="AN17" s="243"/>
      <c r="AO17" s="243"/>
      <c r="AP17" s="243"/>
      <c r="AQ17" s="243"/>
      <c r="AR17" s="243"/>
      <c r="AS17" s="844"/>
      <c r="AT17" s="844"/>
    </row>
    <row r="18" spans="18:46">
      <c r="R18" s="5"/>
      <c r="S18" s="5"/>
      <c r="T18" s="5"/>
      <c r="U18" s="4"/>
      <c r="V18" s="4"/>
      <c r="W18" s="4"/>
      <c r="X18" s="4"/>
      <c r="Y18" s="175"/>
      <c r="Z18" s="175"/>
      <c r="AA18" s="175"/>
      <c r="AB18" s="175"/>
      <c r="AC18" s="175"/>
      <c r="AD18" s="175"/>
      <c r="AE18" s="175"/>
      <c r="AF18" s="175"/>
      <c r="AG18" s="175"/>
      <c r="AH18" s="175"/>
      <c r="AI18" s="243"/>
      <c r="AJ18" s="243"/>
      <c r="AK18" s="243"/>
      <c r="AL18" s="243"/>
      <c r="AM18" s="243"/>
      <c r="AN18" s="243"/>
      <c r="AO18" s="243"/>
      <c r="AP18" s="243"/>
      <c r="AQ18" s="243"/>
      <c r="AR18" s="243"/>
      <c r="AS18" s="844"/>
      <c r="AT18" s="844"/>
    </row>
    <row r="19" spans="18:46">
      <c r="R19" s="5"/>
      <c r="S19" s="5"/>
      <c r="T19" s="5"/>
      <c r="U19" s="5"/>
      <c r="V19" s="5"/>
      <c r="W19" s="4"/>
      <c r="X19" s="4"/>
      <c r="Y19" s="175"/>
      <c r="Z19" s="175"/>
      <c r="AA19" s="175"/>
      <c r="AB19" s="175"/>
      <c r="AC19" s="175"/>
      <c r="AD19" s="175"/>
      <c r="AE19" s="175"/>
      <c r="AF19" s="175"/>
      <c r="AG19" s="175"/>
      <c r="AH19" s="175"/>
      <c r="AI19" s="243"/>
      <c r="AJ19" s="243"/>
      <c r="AK19" s="243"/>
      <c r="AL19" s="243"/>
      <c r="AM19" s="243"/>
      <c r="AN19" s="243"/>
      <c r="AO19" s="243"/>
      <c r="AP19" s="243"/>
      <c r="AQ19" s="243"/>
      <c r="AR19" s="243"/>
      <c r="AS19" s="844"/>
      <c r="AT19" s="844"/>
    </row>
    <row r="20" spans="18:46">
      <c r="R20" s="5"/>
      <c r="S20" s="5"/>
      <c r="T20" s="5"/>
      <c r="U20" s="4"/>
      <c r="V20" s="4"/>
      <c r="W20" s="4"/>
      <c r="X20" s="4"/>
      <c r="Y20" s="175"/>
      <c r="Z20" s="175"/>
      <c r="AA20" s="175"/>
      <c r="AB20" s="175"/>
      <c r="AC20" s="175"/>
      <c r="AD20" s="175"/>
      <c r="AE20" s="175"/>
      <c r="AF20" s="175"/>
      <c r="AG20" s="175"/>
      <c r="AH20" s="175"/>
      <c r="AI20" s="243"/>
      <c r="AJ20" s="243"/>
      <c r="AK20" s="243"/>
      <c r="AL20" s="243"/>
      <c r="AM20" s="243"/>
      <c r="AN20" s="243"/>
      <c r="AO20" s="243"/>
      <c r="AP20" s="243"/>
      <c r="AQ20" s="243"/>
      <c r="AR20" s="243"/>
      <c r="AS20" s="844"/>
      <c r="AT20" s="844"/>
    </row>
    <row r="21" spans="18:46">
      <c r="R21" s="5"/>
      <c r="S21" s="5"/>
      <c r="T21" s="5"/>
      <c r="U21" s="4"/>
      <c r="V21" s="4"/>
      <c r="W21" s="4"/>
      <c r="X21" s="4"/>
      <c r="Y21" s="175"/>
      <c r="Z21" s="175"/>
      <c r="AA21" s="175"/>
      <c r="AB21" s="175"/>
      <c r="AC21" s="175"/>
      <c r="AD21" s="175"/>
      <c r="AE21" s="175"/>
      <c r="AF21" s="175"/>
      <c r="AG21" s="175"/>
      <c r="AH21" s="175"/>
      <c r="AI21" s="243"/>
      <c r="AJ21" s="243"/>
      <c r="AK21" s="243"/>
      <c r="AL21" s="243"/>
      <c r="AM21" s="243"/>
      <c r="AN21" s="243"/>
      <c r="AO21" s="243"/>
      <c r="AP21" s="243"/>
      <c r="AQ21" s="243"/>
      <c r="AR21" s="243"/>
      <c r="AS21" s="844"/>
      <c r="AT21" s="844"/>
    </row>
    <row r="22" spans="18:46">
      <c r="R22" s="5"/>
      <c r="S22" s="5"/>
      <c r="T22" s="5"/>
      <c r="U22" s="4"/>
      <c r="V22" s="4"/>
      <c r="W22" s="4"/>
      <c r="X22" s="4"/>
      <c r="Y22" s="175"/>
      <c r="Z22" s="175"/>
      <c r="AA22" s="175"/>
      <c r="AB22" s="175"/>
      <c r="AC22" s="175"/>
      <c r="AD22" s="175"/>
      <c r="AE22" s="175"/>
      <c r="AF22" s="175"/>
      <c r="AG22" s="175"/>
      <c r="AH22" s="175"/>
      <c r="AI22" s="243"/>
      <c r="AJ22" s="243"/>
      <c r="AK22" s="243"/>
      <c r="AL22" s="243"/>
      <c r="AM22" s="243"/>
      <c r="AN22" s="243"/>
      <c r="AO22" s="243"/>
      <c r="AP22" s="243"/>
      <c r="AQ22" s="243"/>
      <c r="AR22" s="243"/>
      <c r="AS22" s="844"/>
      <c r="AT22" s="844"/>
    </row>
    <row r="23" spans="18:46">
      <c r="R23" s="5"/>
      <c r="S23" s="5"/>
      <c r="T23" s="5"/>
      <c r="U23" s="4"/>
      <c r="V23" s="4"/>
      <c r="W23" s="4"/>
      <c r="X23" s="4"/>
      <c r="Y23" s="175"/>
      <c r="Z23" s="175"/>
      <c r="AA23" s="175"/>
      <c r="AB23" s="175"/>
      <c r="AC23" s="175"/>
      <c r="AD23" s="175"/>
      <c r="AE23" s="175"/>
      <c r="AF23" s="175"/>
      <c r="AG23" s="175"/>
      <c r="AH23" s="175"/>
      <c r="AI23" s="243"/>
      <c r="AJ23" s="243"/>
      <c r="AK23" s="243"/>
      <c r="AL23" s="243"/>
      <c r="AM23" s="243"/>
      <c r="AN23" s="243"/>
      <c r="AO23" s="243"/>
      <c r="AP23" s="243"/>
      <c r="AQ23" s="243"/>
      <c r="AR23" s="243"/>
      <c r="AS23" s="844"/>
      <c r="AT23" s="844"/>
    </row>
    <row r="24" spans="18:46">
      <c r="R24" s="5"/>
      <c r="S24" s="5"/>
      <c r="T24" s="5"/>
      <c r="U24" s="4"/>
      <c r="V24" s="4"/>
      <c r="W24" s="4"/>
      <c r="X24" s="4"/>
      <c r="Y24" s="175"/>
      <c r="Z24" s="175"/>
      <c r="AA24" s="175"/>
      <c r="AB24" s="175"/>
      <c r="AC24" s="175"/>
      <c r="AD24" s="175"/>
      <c r="AE24" s="175"/>
      <c r="AF24" s="175"/>
      <c r="AG24" s="175"/>
      <c r="AH24" s="175"/>
      <c r="AI24" s="243"/>
      <c r="AJ24" s="243"/>
      <c r="AK24" s="243"/>
      <c r="AL24" s="243"/>
      <c r="AM24" s="243"/>
      <c r="AN24" s="243"/>
      <c r="AO24" s="243"/>
      <c r="AP24" s="243"/>
      <c r="AQ24" s="243"/>
      <c r="AR24" s="243"/>
      <c r="AS24" s="844"/>
      <c r="AT24" s="844"/>
    </row>
    <row r="25" spans="18:46">
      <c r="R25" s="5"/>
      <c r="S25" s="5"/>
      <c r="T25" s="5"/>
      <c r="U25" s="4"/>
      <c r="V25" s="4"/>
      <c r="W25" s="4"/>
      <c r="X25" s="4"/>
      <c r="Y25" s="175"/>
      <c r="Z25" s="175"/>
      <c r="AA25" s="175"/>
      <c r="AB25" s="175"/>
      <c r="AC25" s="175"/>
      <c r="AD25" s="175"/>
      <c r="AE25" s="175"/>
      <c r="AF25" s="175"/>
      <c r="AG25" s="175"/>
      <c r="AH25" s="175"/>
      <c r="AI25" s="243"/>
      <c r="AJ25" s="243"/>
      <c r="AK25" s="243"/>
      <c r="AL25" s="243"/>
      <c r="AM25" s="243"/>
      <c r="AN25" s="243"/>
      <c r="AO25" s="243"/>
      <c r="AP25" s="243"/>
      <c r="AQ25" s="243"/>
      <c r="AR25" s="243"/>
      <c r="AS25" s="844"/>
      <c r="AT25" s="844"/>
    </row>
    <row r="26" spans="18:46">
      <c r="R26" s="5"/>
      <c r="S26" s="5"/>
      <c r="T26" s="5"/>
      <c r="U26" s="4"/>
      <c r="V26" s="4"/>
      <c r="W26" s="4"/>
      <c r="X26" s="4"/>
      <c r="Y26" s="175"/>
      <c r="Z26" s="175"/>
      <c r="AA26" s="175"/>
      <c r="AB26" s="175"/>
      <c r="AC26" s="175"/>
      <c r="AD26" s="175"/>
      <c r="AE26" s="175"/>
      <c r="AF26" s="175"/>
      <c r="AG26" s="175"/>
      <c r="AH26" s="175"/>
      <c r="AI26" s="243"/>
      <c r="AJ26" s="243"/>
      <c r="AK26" s="243"/>
      <c r="AL26" s="243"/>
      <c r="AM26" s="243"/>
      <c r="AN26" s="243"/>
      <c r="AO26" s="243"/>
      <c r="AP26" s="243"/>
      <c r="AQ26" s="243"/>
      <c r="AR26" s="243"/>
      <c r="AS26" s="844"/>
      <c r="AT26" s="844"/>
    </row>
    <row r="27" spans="18:46">
      <c r="R27" s="5"/>
      <c r="S27" s="5"/>
      <c r="T27" s="5"/>
      <c r="U27" s="4"/>
      <c r="V27" s="4"/>
      <c r="W27" s="4"/>
      <c r="X27" s="4"/>
      <c r="Y27" s="175"/>
      <c r="Z27" s="175"/>
      <c r="AA27" s="175"/>
      <c r="AB27" s="175"/>
      <c r="AC27" s="175"/>
      <c r="AD27" s="175"/>
      <c r="AE27" s="175"/>
      <c r="AF27" s="175"/>
      <c r="AG27" s="175"/>
      <c r="AH27" s="175"/>
      <c r="AI27" s="243"/>
      <c r="AJ27" s="243"/>
      <c r="AK27" s="243"/>
      <c r="AL27" s="243"/>
      <c r="AM27" s="243"/>
      <c r="AN27" s="243"/>
      <c r="AO27" s="243"/>
      <c r="AP27" s="243"/>
      <c r="AQ27" s="243"/>
      <c r="AR27" s="243"/>
      <c r="AS27" s="844"/>
      <c r="AT27" s="844"/>
    </row>
    <row r="28" spans="18:46">
      <c r="R28" s="5"/>
      <c r="S28" s="5"/>
      <c r="T28" s="5"/>
      <c r="U28" s="4"/>
      <c r="V28" s="4"/>
      <c r="W28" s="4"/>
      <c r="X28" s="4"/>
      <c r="Y28" s="175"/>
      <c r="Z28" s="175"/>
      <c r="AA28" s="175"/>
      <c r="AB28" s="175"/>
      <c r="AC28" s="175"/>
      <c r="AD28" s="175"/>
      <c r="AE28" s="175"/>
      <c r="AF28" s="175"/>
      <c r="AG28" s="175"/>
      <c r="AH28" s="175"/>
      <c r="AI28" s="243"/>
      <c r="AJ28" s="243"/>
      <c r="AK28" s="243"/>
      <c r="AL28" s="243"/>
      <c r="AM28" s="243"/>
      <c r="AN28" s="243"/>
      <c r="AO28" s="243"/>
      <c r="AP28" s="243"/>
      <c r="AQ28" s="243"/>
      <c r="AR28" s="243"/>
      <c r="AS28" s="844"/>
      <c r="AT28" s="844"/>
    </row>
    <row r="29" spans="18:46">
      <c r="R29" s="5"/>
      <c r="S29" s="5"/>
      <c r="T29" s="5"/>
      <c r="U29" s="4"/>
      <c r="V29" s="4"/>
      <c r="W29" s="4"/>
      <c r="X29" s="4"/>
      <c r="Y29" s="175"/>
      <c r="Z29" s="175"/>
      <c r="AA29" s="175"/>
      <c r="AB29" s="175"/>
      <c r="AC29" s="175"/>
      <c r="AD29" s="175"/>
      <c r="AE29" s="175"/>
      <c r="AF29" s="175"/>
      <c r="AG29" s="175"/>
      <c r="AH29" s="175"/>
      <c r="AI29" s="243"/>
      <c r="AJ29" s="243"/>
      <c r="AK29" s="243"/>
      <c r="AL29" s="243"/>
      <c r="AM29" s="243"/>
      <c r="AN29" s="243"/>
      <c r="AO29" s="243"/>
      <c r="AP29" s="243"/>
      <c r="AQ29" s="243"/>
      <c r="AR29" s="243"/>
      <c r="AS29" s="844"/>
      <c r="AT29" s="844"/>
    </row>
    <row r="30" spans="18:46">
      <c r="R30" s="5"/>
      <c r="S30" s="5"/>
      <c r="T30" s="5"/>
      <c r="U30" s="4"/>
      <c r="V30" s="4"/>
      <c r="W30" s="4"/>
      <c r="X30" s="4"/>
      <c r="Y30" s="175"/>
      <c r="Z30" s="175"/>
      <c r="AA30" s="175"/>
      <c r="AB30" s="175"/>
      <c r="AC30" s="175"/>
      <c r="AD30" s="175"/>
      <c r="AE30" s="175"/>
      <c r="AF30" s="175"/>
      <c r="AG30" s="175"/>
      <c r="AH30" s="175"/>
      <c r="AI30" s="243"/>
      <c r="AJ30" s="243"/>
      <c r="AK30" s="243"/>
      <c r="AL30" s="243"/>
      <c r="AM30" s="243"/>
      <c r="AN30" s="243"/>
      <c r="AO30" s="243"/>
      <c r="AP30" s="243"/>
      <c r="AQ30" s="243"/>
      <c r="AR30" s="243"/>
      <c r="AS30" s="844"/>
      <c r="AT30" s="844"/>
    </row>
    <row r="31" spans="18:46">
      <c r="R31" s="5"/>
      <c r="S31" s="5"/>
      <c r="T31" s="5"/>
      <c r="U31" s="4"/>
      <c r="V31" s="4"/>
      <c r="W31" s="4"/>
      <c r="X31" s="4"/>
      <c r="Y31" s="175"/>
      <c r="Z31" s="175"/>
      <c r="AA31" s="175"/>
      <c r="AB31" s="175"/>
      <c r="AC31" s="175"/>
      <c r="AD31" s="175"/>
      <c r="AE31" s="175"/>
      <c r="AF31" s="175"/>
      <c r="AG31" s="175"/>
      <c r="AH31" s="175"/>
      <c r="AI31" s="243"/>
      <c r="AJ31" s="243"/>
      <c r="AK31" s="243"/>
      <c r="AL31" s="243"/>
      <c r="AM31" s="243"/>
      <c r="AN31" s="243"/>
      <c r="AO31" s="243"/>
      <c r="AP31" s="243"/>
      <c r="AQ31" s="243"/>
      <c r="AR31" s="243"/>
      <c r="AS31" s="844"/>
      <c r="AT31" s="844"/>
    </row>
    <row r="32" spans="18:46">
      <c r="R32" s="5"/>
      <c r="S32" s="5"/>
      <c r="T32" s="5"/>
      <c r="U32" s="4"/>
      <c r="V32" s="4"/>
      <c r="W32" s="4"/>
      <c r="X32" s="4"/>
      <c r="Y32" s="175"/>
      <c r="Z32" s="175"/>
      <c r="AA32" s="175"/>
      <c r="AB32" s="175"/>
      <c r="AC32" s="175"/>
      <c r="AD32" s="175"/>
      <c r="AE32" s="175"/>
      <c r="AF32" s="175"/>
      <c r="AG32" s="175"/>
      <c r="AH32" s="175"/>
      <c r="AI32" s="243"/>
      <c r="AJ32" s="243"/>
      <c r="AK32" s="243"/>
      <c r="AL32" s="243"/>
      <c r="AM32" s="243"/>
      <c r="AN32" s="243"/>
      <c r="AO32" s="243"/>
      <c r="AP32" s="243"/>
      <c r="AQ32" s="243"/>
      <c r="AR32" s="243"/>
      <c r="AS32" s="844"/>
      <c r="AT32" s="844"/>
    </row>
    <row r="33" spans="18:46">
      <c r="R33" s="5"/>
      <c r="S33" s="5"/>
      <c r="T33" s="5"/>
      <c r="U33" s="4"/>
      <c r="V33" s="4"/>
      <c r="W33" s="4"/>
      <c r="X33" s="4"/>
      <c r="Y33" s="175"/>
      <c r="Z33" s="175"/>
      <c r="AA33" s="175"/>
      <c r="AB33" s="175"/>
      <c r="AC33" s="175"/>
      <c r="AD33" s="175"/>
      <c r="AE33" s="175"/>
      <c r="AF33" s="175"/>
      <c r="AG33" s="175"/>
      <c r="AH33" s="175"/>
      <c r="AI33" s="243"/>
      <c r="AJ33" s="243"/>
      <c r="AK33" s="243"/>
      <c r="AL33" s="243"/>
      <c r="AM33" s="243"/>
      <c r="AN33" s="243"/>
      <c r="AO33" s="243"/>
      <c r="AP33" s="243"/>
      <c r="AQ33" s="243"/>
      <c r="AR33" s="243"/>
      <c r="AS33" s="844"/>
      <c r="AT33" s="844"/>
    </row>
    <row r="34" spans="18:46">
      <c r="R34" s="5"/>
      <c r="S34" s="5"/>
      <c r="T34" s="5"/>
      <c r="U34" s="4"/>
      <c r="V34" s="4"/>
      <c r="W34" s="4"/>
      <c r="X34" s="4"/>
      <c r="Y34" s="175"/>
      <c r="Z34" s="175"/>
      <c r="AA34" s="175"/>
      <c r="AB34" s="175"/>
      <c r="AC34" s="175"/>
      <c r="AD34" s="175"/>
      <c r="AE34" s="175"/>
      <c r="AF34" s="175"/>
      <c r="AG34" s="175"/>
      <c r="AH34" s="175"/>
      <c r="AI34" s="243"/>
      <c r="AJ34" s="243"/>
      <c r="AK34" s="243"/>
      <c r="AL34" s="243"/>
      <c r="AM34" s="243"/>
      <c r="AN34" s="243"/>
      <c r="AO34" s="243"/>
      <c r="AP34" s="243"/>
      <c r="AQ34" s="243"/>
      <c r="AR34" s="243"/>
      <c r="AS34" s="844"/>
      <c r="AT34" s="844"/>
    </row>
    <row r="35" spans="18:46">
      <c r="R35" s="5"/>
      <c r="S35" s="5"/>
      <c r="T35" s="5"/>
      <c r="U35" s="4"/>
      <c r="V35" s="4"/>
      <c r="W35" s="4"/>
      <c r="X35" s="4"/>
      <c r="Y35" s="175"/>
      <c r="Z35" s="175"/>
      <c r="AA35" s="175"/>
      <c r="AB35" s="175"/>
      <c r="AC35" s="175"/>
      <c r="AD35" s="175"/>
      <c r="AE35" s="175"/>
      <c r="AF35" s="175"/>
      <c r="AG35" s="175"/>
      <c r="AH35" s="175"/>
      <c r="AI35" s="243"/>
      <c r="AJ35" s="243"/>
      <c r="AK35" s="243"/>
      <c r="AL35" s="243"/>
      <c r="AM35" s="243"/>
      <c r="AN35" s="243"/>
      <c r="AO35" s="243"/>
      <c r="AP35" s="243"/>
      <c r="AQ35" s="243"/>
      <c r="AR35" s="243"/>
      <c r="AS35" s="844"/>
      <c r="AT35" s="844"/>
    </row>
    <row r="36" spans="18:46">
      <c r="R36" s="5"/>
      <c r="S36" s="5"/>
      <c r="T36" s="5"/>
      <c r="U36" s="4"/>
      <c r="V36" s="4"/>
      <c r="W36" s="4"/>
      <c r="X36" s="4"/>
      <c r="Y36" s="175"/>
      <c r="Z36" s="175"/>
      <c r="AA36" s="175"/>
      <c r="AB36" s="175"/>
      <c r="AC36" s="175"/>
      <c r="AD36" s="175"/>
      <c r="AE36" s="175"/>
      <c r="AF36" s="175"/>
      <c r="AG36" s="175"/>
      <c r="AH36" s="175"/>
      <c r="AI36" s="243"/>
      <c r="AJ36" s="243"/>
      <c r="AK36" s="243"/>
      <c r="AL36" s="243"/>
      <c r="AM36" s="243"/>
      <c r="AN36" s="243"/>
      <c r="AO36" s="243"/>
      <c r="AP36" s="243"/>
      <c r="AQ36" s="243"/>
      <c r="AR36" s="243"/>
      <c r="AS36" s="844"/>
      <c r="AT36" s="844"/>
    </row>
    <row r="37" spans="18:46">
      <c r="R37" s="5"/>
      <c r="S37" s="5"/>
      <c r="T37" s="5"/>
      <c r="U37" s="4"/>
      <c r="V37" s="4"/>
      <c r="W37" s="4"/>
      <c r="X37" s="4"/>
      <c r="Y37" s="175"/>
      <c r="Z37" s="175"/>
      <c r="AA37" s="175"/>
      <c r="AB37" s="175"/>
      <c r="AC37" s="175"/>
      <c r="AD37" s="175"/>
      <c r="AE37" s="175"/>
      <c r="AF37" s="175"/>
      <c r="AG37" s="175"/>
      <c r="AH37" s="175"/>
      <c r="AI37" s="243"/>
      <c r="AJ37" s="243"/>
      <c r="AK37" s="243"/>
      <c r="AL37" s="243"/>
      <c r="AM37" s="243"/>
      <c r="AN37" s="243"/>
      <c r="AO37" s="243"/>
      <c r="AP37" s="243"/>
      <c r="AQ37" s="243"/>
      <c r="AR37" s="243"/>
      <c r="AS37" s="844"/>
      <c r="AT37" s="844"/>
    </row>
    <row r="38" spans="18:46">
      <c r="R38" s="5"/>
      <c r="S38" s="5"/>
      <c r="T38" s="5"/>
      <c r="U38" s="4"/>
      <c r="V38" s="4"/>
      <c r="W38" s="4"/>
      <c r="X38" s="4"/>
      <c r="Y38" s="175"/>
      <c r="Z38" s="175"/>
      <c r="AA38" s="175"/>
      <c r="AB38" s="175"/>
      <c r="AC38" s="175"/>
      <c r="AD38" s="175"/>
      <c r="AE38" s="175"/>
      <c r="AF38" s="175"/>
      <c r="AG38" s="175"/>
      <c r="AH38" s="175"/>
      <c r="AI38" s="243"/>
      <c r="AJ38" s="243"/>
      <c r="AK38" s="243"/>
      <c r="AL38" s="243"/>
      <c r="AM38" s="243"/>
      <c r="AN38" s="243"/>
      <c r="AO38" s="243"/>
      <c r="AP38" s="243"/>
      <c r="AQ38" s="243"/>
      <c r="AR38" s="243"/>
      <c r="AS38" s="844"/>
      <c r="AT38" s="844"/>
    </row>
    <row r="39" spans="18:46">
      <c r="R39" s="5"/>
      <c r="S39" s="5"/>
      <c r="T39" s="5"/>
      <c r="U39" s="4"/>
      <c r="V39" s="4"/>
      <c r="W39" s="4"/>
      <c r="X39" s="4"/>
      <c r="Y39" s="175"/>
      <c r="Z39" s="175"/>
      <c r="AA39" s="175"/>
      <c r="AB39" s="175"/>
      <c r="AC39" s="175"/>
      <c r="AD39" s="175"/>
      <c r="AE39" s="175"/>
      <c r="AF39" s="175"/>
      <c r="AG39" s="175"/>
      <c r="AH39" s="175"/>
      <c r="AI39" s="243"/>
      <c r="AJ39" s="243"/>
      <c r="AK39" s="243"/>
      <c r="AL39" s="243"/>
      <c r="AM39" s="243"/>
      <c r="AN39" s="243"/>
      <c r="AO39" s="243"/>
      <c r="AP39" s="243"/>
      <c r="AQ39" s="243"/>
      <c r="AR39" s="243"/>
      <c r="AS39" s="844"/>
      <c r="AT39" s="844"/>
    </row>
  </sheetData>
  <mergeCells count="6">
    <mergeCell ref="B4:T4"/>
    <mergeCell ref="Y4:AH4"/>
    <mergeCell ref="AI4:AR4"/>
    <mergeCell ref="B2:AX2"/>
    <mergeCell ref="Y5:AH5"/>
    <mergeCell ref="AI5:AR5"/>
  </mergeCells>
  <phoneticPr fontId="36" type="noConversion"/>
  <pageMargins left="0.70866141732283472" right="0.70866141732283472" top="0.78740157480314965" bottom="0.78740157480314965" header="0.31496062992125984" footer="0.31496062992125984"/>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29C91-E5AF-41C0-80A7-A31DB38C8B19}">
  <sheetPr codeName="Tabelle1">
    <outlinePr summaryBelow="0" summaryRight="0"/>
    <pageSetUpPr fitToPage="1"/>
  </sheetPr>
  <dimension ref="A1:AB88"/>
  <sheetViews>
    <sheetView showGridLines="0" showZeros="0" zoomScaleNormal="100" workbookViewId="0">
      <pane xSplit="6" ySplit="5" topLeftCell="G18" activePane="bottomRight" state="frozen"/>
      <selection pane="topRight" activeCell="G1" sqref="G1"/>
      <selection pane="bottomLeft" activeCell="A6" sqref="A6"/>
      <selection pane="bottomRight" activeCell="T1" sqref="T1:T1048576"/>
    </sheetView>
  </sheetViews>
  <sheetFormatPr baseColWidth="10" defaultColWidth="12.28515625" defaultRowHeight="11.25"/>
  <cols>
    <col min="1" max="1" width="6.28515625" style="1144" customWidth="1"/>
    <col min="2" max="3" width="17.28515625" style="1144" customWidth="1"/>
    <col min="4" max="4" width="25.42578125" style="1144" customWidth="1"/>
    <col min="5" max="7" width="11.7109375" style="1144" customWidth="1"/>
    <col min="8" max="12" width="22.85546875" style="1144" customWidth="1"/>
    <col min="13" max="13" width="26.7109375" style="1144" customWidth="1"/>
    <col min="14" max="14" width="27.42578125" style="1144" customWidth="1"/>
    <col min="15" max="15" width="28.28515625" style="1144" customWidth="1"/>
    <col min="16" max="16" width="21.28515625" style="1144" customWidth="1"/>
    <col min="17" max="17" width="21.28515625" style="1144" hidden="1" customWidth="1"/>
    <col min="18" max="18" width="20" style="1145" customWidth="1"/>
    <col min="19" max="19" width="11.7109375" style="1146" customWidth="1"/>
    <col min="20" max="20" width="7" style="1146" hidden="1" customWidth="1"/>
    <col min="21" max="25" width="16.28515625" style="1144" customWidth="1"/>
    <col min="26" max="26" width="28.5703125" style="1144" customWidth="1"/>
    <col min="27" max="16384" width="12.28515625" style="1144"/>
  </cols>
  <sheetData>
    <row r="1" spans="1:28" ht="10.9" customHeight="1"/>
    <row r="2" spans="1:28" ht="10.9" customHeight="1">
      <c r="C2" s="1147" t="s">
        <v>3527</v>
      </c>
      <c r="H2" s="1147" t="s">
        <v>3322</v>
      </c>
      <c r="J2" s="1147" t="s">
        <v>3315</v>
      </c>
      <c r="K2" s="1147" t="s">
        <v>3316</v>
      </c>
      <c r="L2" s="1147" t="s">
        <v>3528</v>
      </c>
      <c r="M2" s="1147" t="s">
        <v>3529</v>
      </c>
      <c r="N2" s="1147" t="s">
        <v>3530</v>
      </c>
      <c r="O2" s="1148" t="s">
        <v>3531</v>
      </c>
      <c r="T2" s="1149" t="s">
        <v>3549</v>
      </c>
      <c r="U2" s="1321" t="str" cm="1">
        <f t="array" aca="1" ref="U2" ca="1">IFERROR(IF(GetUserDomain()="AWS",HYPERLINK("M:\02 WD\02 Technologien\23 Elektronik - Elektrik\98 Taskforce EE\02 Materialkosten (Degression, C-Teile)\Degression","Info"),""),"")</f>
        <v/>
      </c>
      <c r="W2" s="1147" t="s">
        <v>3580</v>
      </c>
    </row>
    <row r="3" spans="1:28" ht="10.9" customHeight="1">
      <c r="C3" s="1150">
        <f>Y34</f>
        <v>4.7198357810215521</v>
      </c>
      <c r="H3" s="1151">
        <v>800000</v>
      </c>
      <c r="J3" s="1152">
        <v>227</v>
      </c>
      <c r="K3" s="1152">
        <v>59.9</v>
      </c>
      <c r="L3" s="1152" t="s">
        <v>4006</v>
      </c>
      <c r="M3" s="1152">
        <v>0.746</v>
      </c>
      <c r="N3" s="1153">
        <f>IFERROR(SUMPRODUCT(EBOM[Quantity 
Total],EBOM[No of Pins/Pads])/((J3*K3)/100),0)</f>
        <v>1.0443249762820561</v>
      </c>
      <c r="O3" s="1153">
        <f>(1*1*0.2*8.4/1000)*SUMPRODUCT(EBOM[No of Pins/Pads],EBOM[Quantity 
Total])</f>
        <v>0.23856000000000002</v>
      </c>
      <c r="T3" s="1154">
        <v>0.8</v>
      </c>
      <c r="U3" s="1321"/>
      <c r="W3" s="1155">
        <v>0.74</v>
      </c>
    </row>
    <row r="4" spans="1:28" ht="10.9" customHeight="1">
      <c r="E4" s="1156"/>
      <c r="F4" s="1156"/>
      <c r="G4" s="1156"/>
      <c r="H4" s="1156"/>
      <c r="I4" s="1156"/>
      <c r="J4" s="1156"/>
      <c r="K4" s="1156"/>
    </row>
    <row r="5" spans="1:28" s="1161" customFormat="1" ht="25.9" customHeight="1">
      <c r="A5" s="1157" t="s">
        <v>76</v>
      </c>
      <c r="B5" s="1158" t="s">
        <v>3508</v>
      </c>
      <c r="C5" s="1158" t="s">
        <v>3509</v>
      </c>
      <c r="D5" s="1158" t="s">
        <v>3510</v>
      </c>
      <c r="E5" s="1158" t="s">
        <v>3511</v>
      </c>
      <c r="F5" s="1158" t="s">
        <v>3575</v>
      </c>
      <c r="G5" s="1158" t="s">
        <v>3512</v>
      </c>
      <c r="H5" s="1158" t="s">
        <v>3467</v>
      </c>
      <c r="I5" s="1158" t="s">
        <v>2128</v>
      </c>
      <c r="J5" s="1158" t="s">
        <v>3513</v>
      </c>
      <c r="K5" s="1158" t="s">
        <v>3514</v>
      </c>
      <c r="L5" s="1158" t="s">
        <v>3515</v>
      </c>
      <c r="M5" s="1158" t="s">
        <v>3516</v>
      </c>
      <c r="N5" s="1158" t="s">
        <v>3517</v>
      </c>
      <c r="O5" s="1158" t="s">
        <v>1366</v>
      </c>
      <c r="P5" s="1158" t="s">
        <v>3518</v>
      </c>
      <c r="Q5" s="1158" t="s">
        <v>3551</v>
      </c>
      <c r="R5" s="1159" t="s">
        <v>3519</v>
      </c>
      <c r="S5" s="1158" t="s">
        <v>3550</v>
      </c>
      <c r="T5" s="1158" t="s">
        <v>3549</v>
      </c>
      <c r="U5" s="1158" t="s">
        <v>3360</v>
      </c>
      <c r="V5" s="1158" t="s">
        <v>3520</v>
      </c>
      <c r="W5" s="1158" t="s">
        <v>3521</v>
      </c>
      <c r="X5" s="1158" t="s">
        <v>3522</v>
      </c>
      <c r="Y5" s="1158" t="s">
        <v>3527</v>
      </c>
      <c r="Z5" s="1160" t="s">
        <v>3523</v>
      </c>
    </row>
    <row r="6" spans="1:28" ht="25.9" customHeight="1">
      <c r="A6" s="1162"/>
      <c r="B6" s="1163" t="s">
        <v>4007</v>
      </c>
      <c r="C6" s="1163"/>
      <c r="D6" s="1163"/>
      <c r="E6" s="1152"/>
      <c r="F6" s="1152"/>
      <c r="G6" s="1153"/>
      <c r="H6" s="1152"/>
      <c r="I6" s="1163"/>
      <c r="J6" s="1164"/>
      <c r="K6" s="1163"/>
      <c r="L6" s="1163"/>
      <c r="M6" s="1163"/>
      <c r="N6" s="1163"/>
      <c r="O6" s="1165"/>
      <c r="P6" s="1166"/>
      <c r="Q6" s="1166"/>
      <c r="R6" s="1167"/>
      <c r="S6" s="1168"/>
      <c r="T6" s="1169">
        <v>1</v>
      </c>
      <c r="U6" s="1170">
        <v>1</v>
      </c>
      <c r="V6" s="1170">
        <f t="shared" ref="V6:V33" si="0">R6*U6*T6</f>
        <v>0</v>
      </c>
      <c r="W6" s="1171"/>
      <c r="X6" s="1171"/>
      <c r="Y6" s="1172">
        <f>IF(OR(ISBLANK(M3),ISBLANK(K3),ISBLANK(J3)),"Bitte alle Felder ausfüllen",((J3*K3)/10000)*M3/W3)</f>
        <v>1.3707548378378378</v>
      </c>
      <c r="Z6" s="1173"/>
      <c r="AA6" s="1161"/>
      <c r="AB6" s="1161"/>
    </row>
    <row r="7" spans="1:28" ht="25.9" customHeight="1">
      <c r="A7" s="1162"/>
      <c r="B7" s="1163" t="s">
        <v>3548</v>
      </c>
      <c r="C7" s="1163"/>
      <c r="D7" s="1163"/>
      <c r="E7" s="1152"/>
      <c r="F7" s="1152"/>
      <c r="G7" s="1153">
        <f>E7+F7</f>
        <v>0</v>
      </c>
      <c r="H7" s="1152"/>
      <c r="I7" s="1163"/>
      <c r="J7" s="1164"/>
      <c r="K7" s="1163"/>
      <c r="L7" s="1163"/>
      <c r="M7" s="1163"/>
      <c r="N7" s="1163"/>
      <c r="O7" s="1165"/>
      <c r="P7" s="1166"/>
      <c r="Q7" s="1166"/>
      <c r="R7" s="1167"/>
      <c r="S7" s="1168"/>
      <c r="T7" s="1169">
        <v>1</v>
      </c>
      <c r="U7" s="1170">
        <v>1</v>
      </c>
      <c r="V7" s="1170">
        <f t="shared" si="0"/>
        <v>0</v>
      </c>
      <c r="W7" s="1171">
        <f>E7*V7</f>
        <v>0</v>
      </c>
      <c r="X7" s="1171">
        <f>F7*V7</f>
        <v>0</v>
      </c>
      <c r="Y7" s="1171">
        <f>O3/1000*20</f>
        <v>4.7712000000000006E-3</v>
      </c>
      <c r="Z7" s="1173"/>
      <c r="AA7" s="1161"/>
      <c r="AB7" s="1161"/>
    </row>
    <row r="8" spans="1:28" ht="25.9" customHeight="1">
      <c r="A8" s="1174"/>
      <c r="B8" s="1175" t="s">
        <v>3524</v>
      </c>
      <c r="C8" s="1163"/>
      <c r="D8" s="1164"/>
      <c r="E8" s="1152"/>
      <c r="F8" s="1152"/>
      <c r="G8" s="1153">
        <f t="shared" ref="G8:G9" si="1">E8+F8</f>
        <v>0</v>
      </c>
      <c r="H8" s="1152"/>
      <c r="I8" s="1164"/>
      <c r="J8" s="1163"/>
      <c r="K8" s="1163"/>
      <c r="L8" s="1163"/>
      <c r="M8" s="1163"/>
      <c r="N8" s="1163"/>
      <c r="O8" s="1165"/>
      <c r="P8" s="1166"/>
      <c r="Q8" s="1166"/>
      <c r="R8" s="1167"/>
      <c r="S8" s="1168"/>
      <c r="T8" s="1169"/>
      <c r="U8" s="1170" cm="1">
        <f t="array" ref="U8">EBOM_Factor</f>
        <v>0</v>
      </c>
      <c r="V8" s="1170">
        <f t="shared" si="0"/>
        <v>0</v>
      </c>
      <c r="W8" s="1171"/>
      <c r="X8" s="1171"/>
      <c r="Y8" s="1171">
        <f t="shared" ref="Y8:Y9" si="2">X8+W8</f>
        <v>0</v>
      </c>
      <c r="Z8" s="1173"/>
      <c r="AA8" s="1161"/>
      <c r="AB8" s="1161"/>
    </row>
    <row r="9" spans="1:28" ht="25.9" customHeight="1">
      <c r="A9" s="1162">
        <f t="shared" ref="A9" si="3">ROW()-8</f>
        <v>1</v>
      </c>
      <c r="B9" s="1163" t="s">
        <v>3533</v>
      </c>
      <c r="C9" s="1163" t="s">
        <v>3555</v>
      </c>
      <c r="D9" s="1163">
        <v>0</v>
      </c>
      <c r="E9" s="1152">
        <v>64</v>
      </c>
      <c r="F9" s="1152"/>
      <c r="G9" s="1153">
        <f t="shared" si="1"/>
        <v>64</v>
      </c>
      <c r="H9" s="1152" t="s">
        <v>3486</v>
      </c>
      <c r="I9" s="1163">
        <v>0</v>
      </c>
      <c r="J9" s="1164">
        <v>0</v>
      </c>
      <c r="K9" s="1163">
        <v>0</v>
      </c>
      <c r="L9" s="1163">
        <v>0</v>
      </c>
      <c r="M9" s="1163">
        <v>0</v>
      </c>
      <c r="N9" s="1220" t="s">
        <v>4012</v>
      </c>
      <c r="O9" s="1165" t="s">
        <v>4006</v>
      </c>
      <c r="P9" s="1166">
        <v>0</v>
      </c>
      <c r="Q9" s="1166"/>
      <c r="R9" s="1167">
        <v>8.9999999999999998E-4</v>
      </c>
      <c r="S9" s="1168"/>
      <c r="T9" s="1169">
        <v>1</v>
      </c>
      <c r="U9" s="1170" cm="1">
        <f t="array" ref="U9">EBOM_Factor</f>
        <v>1</v>
      </c>
      <c r="V9" s="1170">
        <f t="shared" si="0"/>
        <v>8.9999999999999998E-4</v>
      </c>
      <c r="W9" s="1171">
        <f t="shared" ref="W9" si="4">E9*V9</f>
        <v>5.7599999999999998E-2</v>
      </c>
      <c r="X9" s="1171">
        <f t="shared" ref="X9" si="5">F9*V9</f>
        <v>0</v>
      </c>
      <c r="Y9" s="1171">
        <f t="shared" si="2"/>
        <v>5.7599999999999998E-2</v>
      </c>
      <c r="Z9" s="1173"/>
    </row>
    <row r="10" spans="1:28" ht="25.9" customHeight="1">
      <c r="A10" s="1162">
        <f>ROW()-8</f>
        <v>2</v>
      </c>
      <c r="B10" s="1163" t="s">
        <v>3533</v>
      </c>
      <c r="C10" s="1163" t="s">
        <v>3553</v>
      </c>
      <c r="D10" s="1163">
        <v>0</v>
      </c>
      <c r="E10" s="1152">
        <v>29</v>
      </c>
      <c r="F10" s="1152"/>
      <c r="G10" s="1153">
        <f>E10+F10</f>
        <v>29</v>
      </c>
      <c r="H10" s="1152" t="s">
        <v>3486</v>
      </c>
      <c r="I10" s="1163">
        <v>0</v>
      </c>
      <c r="J10" s="1164">
        <v>0</v>
      </c>
      <c r="K10" s="1163">
        <v>0</v>
      </c>
      <c r="L10" s="1163">
        <v>0</v>
      </c>
      <c r="M10" s="1163">
        <v>0</v>
      </c>
      <c r="N10" s="1220" t="s">
        <v>4012</v>
      </c>
      <c r="O10" s="1165" t="s">
        <v>4006</v>
      </c>
      <c r="P10" s="1166">
        <v>0</v>
      </c>
      <c r="Q10" s="1166"/>
      <c r="R10" s="1167">
        <v>1.8E-3</v>
      </c>
      <c r="S10" s="1168"/>
      <c r="T10" s="1169">
        <v>1</v>
      </c>
      <c r="U10" s="1170" cm="1">
        <f t="array" ref="U10">EBOM_Factor</f>
        <v>1</v>
      </c>
      <c r="V10" s="1170">
        <f t="shared" si="0"/>
        <v>1.8E-3</v>
      </c>
      <c r="W10" s="1171">
        <f>E10*V10</f>
        <v>5.2199999999999996E-2</v>
      </c>
      <c r="X10" s="1171">
        <f>F10*V10</f>
        <v>0</v>
      </c>
      <c r="Y10" s="1171">
        <f>X10+W10</f>
        <v>5.2199999999999996E-2</v>
      </c>
      <c r="Z10" s="1173"/>
    </row>
    <row r="11" spans="1:28" ht="25.9" customHeight="1">
      <c r="A11" s="1162">
        <f t="shared" ref="A11" si="6">ROW()-8</f>
        <v>3</v>
      </c>
      <c r="B11" s="1163" t="s">
        <v>3533</v>
      </c>
      <c r="C11" s="1163" t="s">
        <v>3553</v>
      </c>
      <c r="D11" s="1163">
        <v>0</v>
      </c>
      <c r="E11" s="1152">
        <v>6</v>
      </c>
      <c r="F11" s="1152"/>
      <c r="G11" s="1153">
        <f t="shared" ref="G11" si="7">E11+F11</f>
        <v>6</v>
      </c>
      <c r="H11" s="1152" t="s">
        <v>3486</v>
      </c>
      <c r="I11" s="1163">
        <v>0</v>
      </c>
      <c r="J11" s="1164">
        <v>0</v>
      </c>
      <c r="K11" s="1163">
        <v>0</v>
      </c>
      <c r="L11" s="1163">
        <v>0</v>
      </c>
      <c r="M11" s="1163">
        <v>0</v>
      </c>
      <c r="N11" s="1220" t="s">
        <v>4014</v>
      </c>
      <c r="O11" s="1165" t="s">
        <v>4006</v>
      </c>
      <c r="P11" s="1166">
        <v>0</v>
      </c>
      <c r="Q11" s="1166"/>
      <c r="R11" s="1167">
        <v>2.5999999999999999E-3</v>
      </c>
      <c r="S11" s="1168"/>
      <c r="T11" s="1169">
        <v>1</v>
      </c>
      <c r="U11" s="1170" cm="1">
        <f t="array" ref="U11">EBOM_Factor</f>
        <v>1</v>
      </c>
      <c r="V11" s="1170">
        <f t="shared" si="0"/>
        <v>2.5999999999999999E-3</v>
      </c>
      <c r="W11" s="1171">
        <f t="shared" ref="W11" si="8">E11*V11</f>
        <v>1.5599999999999999E-2</v>
      </c>
      <c r="X11" s="1171">
        <f t="shared" ref="X11" si="9">F11*V11</f>
        <v>0</v>
      </c>
      <c r="Y11" s="1171">
        <f t="shared" ref="Y11" si="10">X11+W11</f>
        <v>1.5599999999999999E-2</v>
      </c>
      <c r="Z11" s="1173"/>
    </row>
    <row r="12" spans="1:28" ht="25.9" customHeight="1">
      <c r="A12" s="1162">
        <f>ROW()-8</f>
        <v>4</v>
      </c>
      <c r="B12" s="1163" t="s">
        <v>3533</v>
      </c>
      <c r="C12" s="1163" t="s">
        <v>3553</v>
      </c>
      <c r="D12" s="1163">
        <v>0</v>
      </c>
      <c r="E12" s="1152">
        <v>6</v>
      </c>
      <c r="F12" s="1152"/>
      <c r="G12" s="1153">
        <f>E12+F12</f>
        <v>6</v>
      </c>
      <c r="H12" s="1152" t="s">
        <v>3486</v>
      </c>
      <c r="I12" s="1163">
        <v>0</v>
      </c>
      <c r="J12" s="1164">
        <v>0</v>
      </c>
      <c r="K12" s="1163">
        <v>0</v>
      </c>
      <c r="L12" s="1163">
        <v>0</v>
      </c>
      <c r="M12" s="1163">
        <v>0</v>
      </c>
      <c r="N12" s="1220" t="s">
        <v>4016</v>
      </c>
      <c r="O12" s="1165" t="s">
        <v>4006</v>
      </c>
      <c r="P12" s="1166">
        <v>0</v>
      </c>
      <c r="Q12" s="1166"/>
      <c r="R12" s="1167">
        <v>5.7000000000000002E-3</v>
      </c>
      <c r="S12" s="1168"/>
      <c r="T12" s="1169">
        <v>1</v>
      </c>
      <c r="U12" s="1170" cm="1">
        <f t="array" ref="U12">EBOM_Factor</f>
        <v>1</v>
      </c>
      <c r="V12" s="1170">
        <f t="shared" si="0"/>
        <v>5.7000000000000002E-3</v>
      </c>
      <c r="W12" s="1171">
        <f>E12*V12</f>
        <v>3.4200000000000001E-2</v>
      </c>
      <c r="X12" s="1171">
        <f>F12*V12</f>
        <v>0</v>
      </c>
      <c r="Y12" s="1171">
        <f>X12+W12</f>
        <v>3.4200000000000001E-2</v>
      </c>
      <c r="Z12" s="1173"/>
    </row>
    <row r="13" spans="1:28" ht="25.9" customHeight="1">
      <c r="A13" s="1162">
        <f t="shared" ref="A13:A16" si="11">ROW()-8</f>
        <v>5</v>
      </c>
      <c r="B13" s="1163" t="s">
        <v>3533</v>
      </c>
      <c r="C13" s="1163" t="s">
        <v>3490</v>
      </c>
      <c r="D13" s="1163">
        <v>0</v>
      </c>
      <c r="E13" s="1152">
        <v>2</v>
      </c>
      <c r="F13" s="1152"/>
      <c r="G13" s="1153">
        <f t="shared" ref="G13:G16" si="12">E13+F13</f>
        <v>2</v>
      </c>
      <c r="H13" s="1152" t="s">
        <v>3486</v>
      </c>
      <c r="I13" s="1163">
        <v>0</v>
      </c>
      <c r="J13" s="1164">
        <v>0</v>
      </c>
      <c r="K13" s="1163">
        <v>0</v>
      </c>
      <c r="L13" s="1163">
        <v>0</v>
      </c>
      <c r="M13" s="1163">
        <v>0</v>
      </c>
      <c r="N13" s="1220" t="s">
        <v>4031</v>
      </c>
      <c r="O13" s="1165" t="s">
        <v>4006</v>
      </c>
      <c r="P13" s="1166">
        <v>0</v>
      </c>
      <c r="Q13" s="1166"/>
      <c r="R13" s="1167">
        <v>3.9800000000000002E-2</v>
      </c>
      <c r="S13" s="1168"/>
      <c r="T13" s="1169">
        <v>1</v>
      </c>
      <c r="U13" s="1170" cm="1">
        <f t="array" ref="U13">EBOM_Factor</f>
        <v>1</v>
      </c>
      <c r="V13" s="1170">
        <f t="shared" ref="V13:V16" si="13">R13*U13*T13</f>
        <v>3.9800000000000002E-2</v>
      </c>
      <c r="W13" s="1171">
        <f t="shared" ref="W13:W16" si="14">E13*V13</f>
        <v>7.9600000000000004E-2</v>
      </c>
      <c r="X13" s="1171">
        <f t="shared" ref="X13:X16" si="15">F13*V13</f>
        <v>0</v>
      </c>
      <c r="Y13" s="1171">
        <f t="shared" ref="Y13:Y16" si="16">X13+W13</f>
        <v>7.9600000000000004E-2</v>
      </c>
      <c r="Z13" s="1173"/>
    </row>
    <row r="14" spans="1:28" ht="25.9" customHeight="1">
      <c r="A14" s="1162">
        <f t="shared" si="11"/>
        <v>6</v>
      </c>
      <c r="B14" s="1163" t="s">
        <v>3533</v>
      </c>
      <c r="C14" s="1163" t="s">
        <v>3490</v>
      </c>
      <c r="D14" s="1163">
        <v>0</v>
      </c>
      <c r="E14" s="1152">
        <v>3</v>
      </c>
      <c r="F14" s="1152"/>
      <c r="G14" s="1153">
        <f t="shared" si="12"/>
        <v>3</v>
      </c>
      <c r="H14" s="1152" t="s">
        <v>3486</v>
      </c>
      <c r="I14" s="1163">
        <v>0</v>
      </c>
      <c r="J14" s="1164">
        <v>0</v>
      </c>
      <c r="K14" s="1163">
        <v>0</v>
      </c>
      <c r="L14" s="1163">
        <v>0</v>
      </c>
      <c r="M14" s="1163">
        <v>0</v>
      </c>
      <c r="N14" s="1220" t="s">
        <v>4023</v>
      </c>
      <c r="O14" s="1165" t="s">
        <v>4006</v>
      </c>
      <c r="P14" s="1166">
        <v>0</v>
      </c>
      <c r="Q14" s="1166"/>
      <c r="R14" s="1167">
        <v>1.72E-2</v>
      </c>
      <c r="S14" s="1168"/>
      <c r="T14" s="1169">
        <v>1</v>
      </c>
      <c r="U14" s="1170" cm="1">
        <f t="array" ref="U14">EBOM_Factor</f>
        <v>1</v>
      </c>
      <c r="V14" s="1170">
        <f t="shared" si="13"/>
        <v>1.72E-2</v>
      </c>
      <c r="W14" s="1171">
        <f t="shared" si="14"/>
        <v>5.16E-2</v>
      </c>
      <c r="X14" s="1171">
        <f t="shared" si="15"/>
        <v>0</v>
      </c>
      <c r="Y14" s="1171">
        <f t="shared" si="16"/>
        <v>5.16E-2</v>
      </c>
      <c r="Z14" s="1173"/>
    </row>
    <row r="15" spans="1:28" ht="25.9" customHeight="1">
      <c r="A15" s="1162">
        <f t="shared" si="11"/>
        <v>7</v>
      </c>
      <c r="B15" s="1163" t="s">
        <v>3533</v>
      </c>
      <c r="C15" s="1163" t="s">
        <v>3490</v>
      </c>
      <c r="D15" s="1163">
        <v>0</v>
      </c>
      <c r="E15" s="1152">
        <v>3</v>
      </c>
      <c r="F15" s="1152"/>
      <c r="G15" s="1153">
        <f t="shared" si="12"/>
        <v>3</v>
      </c>
      <c r="H15" s="1152" t="s">
        <v>3486</v>
      </c>
      <c r="I15" s="1163">
        <v>0</v>
      </c>
      <c r="J15" s="1164">
        <v>0</v>
      </c>
      <c r="K15" s="1163">
        <v>0</v>
      </c>
      <c r="L15" s="1163">
        <v>0</v>
      </c>
      <c r="M15" s="1163">
        <v>0</v>
      </c>
      <c r="N15" s="1220" t="s">
        <v>4032</v>
      </c>
      <c r="O15" s="1165" t="s">
        <v>4006</v>
      </c>
      <c r="P15" s="1166">
        <v>0</v>
      </c>
      <c r="Q15" s="1166"/>
      <c r="R15" s="1167">
        <v>4.5999999999999999E-2</v>
      </c>
      <c r="S15" s="1168"/>
      <c r="T15" s="1169">
        <v>1</v>
      </c>
      <c r="U15" s="1170" cm="1">
        <f t="array" ref="U15">EBOM_Factor</f>
        <v>1</v>
      </c>
      <c r="V15" s="1170">
        <f t="shared" si="13"/>
        <v>4.5999999999999999E-2</v>
      </c>
      <c r="W15" s="1171">
        <f t="shared" si="14"/>
        <v>0.13800000000000001</v>
      </c>
      <c r="X15" s="1171">
        <f t="shared" si="15"/>
        <v>0</v>
      </c>
      <c r="Y15" s="1171">
        <f t="shared" si="16"/>
        <v>0.13800000000000001</v>
      </c>
      <c r="Z15" s="1173"/>
    </row>
    <row r="16" spans="1:28" ht="25.9" customHeight="1">
      <c r="A16" s="1162">
        <f t="shared" si="11"/>
        <v>8</v>
      </c>
      <c r="B16" s="1163" t="s">
        <v>3533</v>
      </c>
      <c r="C16" s="1163" t="s">
        <v>3490</v>
      </c>
      <c r="D16" s="1163">
        <v>0</v>
      </c>
      <c r="E16" s="1152">
        <v>1</v>
      </c>
      <c r="F16" s="1152"/>
      <c r="G16" s="1153">
        <f t="shared" si="12"/>
        <v>1</v>
      </c>
      <c r="H16" s="1152" t="s">
        <v>3486</v>
      </c>
      <c r="I16" s="1163">
        <v>0</v>
      </c>
      <c r="J16" s="1164">
        <v>0</v>
      </c>
      <c r="K16" s="1163">
        <v>0</v>
      </c>
      <c r="L16" s="1163">
        <v>0</v>
      </c>
      <c r="M16" s="1163">
        <v>0</v>
      </c>
      <c r="N16" s="1220" t="s">
        <v>4028</v>
      </c>
      <c r="O16" s="1165" t="s">
        <v>4006</v>
      </c>
      <c r="P16" s="1166">
        <v>0</v>
      </c>
      <c r="Q16" s="1166"/>
      <c r="R16" s="1167">
        <v>8.0000000000000002E-3</v>
      </c>
      <c r="S16" s="1168"/>
      <c r="T16" s="1169">
        <v>1</v>
      </c>
      <c r="U16" s="1170" cm="1">
        <f t="array" ref="U16">EBOM_Factor</f>
        <v>1</v>
      </c>
      <c r="V16" s="1170">
        <f t="shared" si="13"/>
        <v>8.0000000000000002E-3</v>
      </c>
      <c r="W16" s="1171">
        <f t="shared" si="14"/>
        <v>8.0000000000000002E-3</v>
      </c>
      <c r="X16" s="1171">
        <f t="shared" si="15"/>
        <v>0</v>
      </c>
      <c r="Y16" s="1171">
        <f t="shared" si="16"/>
        <v>8.0000000000000002E-3</v>
      </c>
      <c r="Z16" s="1173"/>
    </row>
    <row r="17" spans="1:26" ht="25.9" customHeight="1">
      <c r="A17" s="1162">
        <f t="shared" ref="A17:A24" si="17">ROW()-8</f>
        <v>9</v>
      </c>
      <c r="B17" s="1163" t="s">
        <v>3533</v>
      </c>
      <c r="C17" s="1163" t="s">
        <v>3490</v>
      </c>
      <c r="D17" s="1163">
        <v>0</v>
      </c>
      <c r="E17" s="1152">
        <v>1</v>
      </c>
      <c r="F17" s="1152"/>
      <c r="G17" s="1153">
        <f t="shared" ref="G17:G24" si="18">E17+F17</f>
        <v>1</v>
      </c>
      <c r="H17" s="1152" t="s">
        <v>3486</v>
      </c>
      <c r="I17" s="1163">
        <v>0</v>
      </c>
      <c r="J17" s="1164">
        <v>0</v>
      </c>
      <c r="K17" s="1163">
        <v>0</v>
      </c>
      <c r="L17" s="1163">
        <v>0</v>
      </c>
      <c r="M17" s="1163">
        <v>0</v>
      </c>
      <c r="N17" s="1220" t="s">
        <v>4030</v>
      </c>
      <c r="O17" s="1165" t="s">
        <v>4006</v>
      </c>
      <c r="P17" s="1166">
        <v>0</v>
      </c>
      <c r="Q17" s="1166"/>
      <c r="R17" s="1167">
        <v>6.5799999999999997E-2</v>
      </c>
      <c r="S17" s="1168"/>
      <c r="T17" s="1169">
        <v>1</v>
      </c>
      <c r="U17" s="1170" cm="1">
        <f t="array" ref="U17">EBOM_Factor</f>
        <v>1</v>
      </c>
      <c r="V17" s="1170">
        <f t="shared" ref="V17:V24" si="19">R17*U17*T17</f>
        <v>6.5799999999999997E-2</v>
      </c>
      <c r="W17" s="1171">
        <f t="shared" ref="W17:W24" si="20">E17*V17</f>
        <v>6.5799999999999997E-2</v>
      </c>
      <c r="X17" s="1171">
        <f t="shared" ref="X17:X24" si="21">F17*V17</f>
        <v>0</v>
      </c>
      <c r="Y17" s="1171">
        <f t="shared" ref="Y17:Y24" si="22">X17+W17</f>
        <v>6.5799999999999997E-2</v>
      </c>
      <c r="Z17" s="1173"/>
    </row>
    <row r="18" spans="1:26" ht="25.9" customHeight="1">
      <c r="A18" s="1162">
        <f t="shared" ref="A18:A20" si="23">ROW()-8</f>
        <v>10</v>
      </c>
      <c r="B18" s="1163" t="s">
        <v>3533</v>
      </c>
      <c r="C18" s="1163" t="s">
        <v>4043</v>
      </c>
      <c r="D18" s="1164" t="s">
        <v>4046</v>
      </c>
      <c r="E18" s="1152">
        <v>1</v>
      </c>
      <c r="F18" s="1152"/>
      <c r="G18" s="1153">
        <f t="shared" ref="G18:G19" si="24">E18+F18</f>
        <v>1</v>
      </c>
      <c r="H18" s="1152" t="s">
        <v>3493</v>
      </c>
      <c r="I18" s="1163"/>
      <c r="J18" s="1164"/>
      <c r="K18" s="1163"/>
      <c r="L18" s="1163"/>
      <c r="M18" s="1163">
        <v>2</v>
      </c>
      <c r="N18" s="1220" t="s">
        <v>4044</v>
      </c>
      <c r="O18" s="1165" t="s">
        <v>4045</v>
      </c>
      <c r="P18" s="1166">
        <v>1000</v>
      </c>
      <c r="Q18" s="1166"/>
      <c r="R18" s="1167">
        <v>1.21</v>
      </c>
      <c r="S18" s="1168"/>
      <c r="T18" s="1169">
        <f t="shared" ref="T18:T33" si="25">Project_Factor</f>
        <v>0.8</v>
      </c>
      <c r="U18" s="1170" cm="1">
        <f t="array" ref="U18">EBOM_Factor</f>
        <v>0.31042683161762363</v>
      </c>
      <c r="V18" s="1170">
        <f t="shared" ref="V18:V20" si="26">R18*U18*T18</f>
        <v>0.3004931730058597</v>
      </c>
      <c r="W18" s="1171">
        <f t="shared" ref="W18:W20" si="27">E18*V18</f>
        <v>0.3004931730058597</v>
      </c>
      <c r="X18" s="1171">
        <f t="shared" ref="X18:X20" si="28">F18*V18</f>
        <v>0</v>
      </c>
      <c r="Y18" s="1171">
        <f t="shared" ref="Y18:Y20" si="29">X18+W18</f>
        <v>0.3004931730058597</v>
      </c>
      <c r="Z18" s="1173"/>
    </row>
    <row r="19" spans="1:26" ht="25.9" customHeight="1">
      <c r="A19" s="1162">
        <f t="shared" si="23"/>
        <v>11</v>
      </c>
      <c r="B19" s="1163" t="s">
        <v>3533</v>
      </c>
      <c r="C19" s="1163" t="s">
        <v>3558</v>
      </c>
      <c r="D19" s="1163">
        <v>150</v>
      </c>
      <c r="E19" s="1152">
        <v>1</v>
      </c>
      <c r="F19" s="1152"/>
      <c r="G19" s="1153">
        <f t="shared" si="24"/>
        <v>1</v>
      </c>
      <c r="H19" s="1152" t="s">
        <v>3486</v>
      </c>
      <c r="I19" s="1163"/>
      <c r="J19" s="1164"/>
      <c r="K19" s="1163"/>
      <c r="L19" s="1163"/>
      <c r="M19" s="1163">
        <v>2</v>
      </c>
      <c r="N19" s="1163" t="s">
        <v>4047</v>
      </c>
      <c r="O19" s="1165" t="s">
        <v>4048</v>
      </c>
      <c r="P19" s="1166">
        <v>1000</v>
      </c>
      <c r="Q19" s="1166"/>
      <c r="R19" s="1167">
        <v>0.20899999999999999</v>
      </c>
      <c r="S19" s="1168"/>
      <c r="T19" s="1169">
        <f t="shared" si="25"/>
        <v>0.8</v>
      </c>
      <c r="U19" s="1170" cm="1">
        <f t="array" ref="U19">EBOM_Factor</f>
        <v>0.31042683161762363</v>
      </c>
      <c r="V19" s="1170">
        <f t="shared" si="26"/>
        <v>5.1903366246466666E-2</v>
      </c>
      <c r="W19" s="1171">
        <f t="shared" si="27"/>
        <v>5.1903366246466666E-2</v>
      </c>
      <c r="X19" s="1171">
        <f t="shared" si="28"/>
        <v>0</v>
      </c>
      <c r="Y19" s="1171">
        <f t="shared" si="29"/>
        <v>5.1903366246466666E-2</v>
      </c>
      <c r="Z19" s="1173"/>
    </row>
    <row r="20" spans="1:26" ht="25.9" customHeight="1">
      <c r="A20" s="1162">
        <f t="shared" si="23"/>
        <v>12</v>
      </c>
      <c r="B20" s="1163" t="s">
        <v>667</v>
      </c>
      <c r="C20" s="1163" t="s">
        <v>4049</v>
      </c>
      <c r="D20" s="1163" t="s">
        <v>4050</v>
      </c>
      <c r="E20" s="1152">
        <v>1</v>
      </c>
      <c r="F20" s="1152"/>
      <c r="G20" s="1153">
        <v>1</v>
      </c>
      <c r="H20" s="1152" t="s">
        <v>3493</v>
      </c>
      <c r="I20" s="1163"/>
      <c r="J20" s="1164"/>
      <c r="K20" s="1163"/>
      <c r="L20" s="1163"/>
      <c r="M20" s="1163">
        <v>2</v>
      </c>
      <c r="N20" s="1220" t="s">
        <v>4051</v>
      </c>
      <c r="O20" s="1165" t="s">
        <v>4052</v>
      </c>
      <c r="P20" s="1166">
        <v>1000</v>
      </c>
      <c r="Q20" s="1166"/>
      <c r="R20" s="1167">
        <v>0.42099999999999999</v>
      </c>
      <c r="S20" s="1168"/>
      <c r="T20" s="1169">
        <f t="shared" si="25"/>
        <v>0.8</v>
      </c>
      <c r="U20" s="1170" cm="1">
        <f t="array" ref="U20">EBOM_Factor</f>
        <v>0.31042683161762363</v>
      </c>
      <c r="V20" s="1170">
        <f t="shared" si="26"/>
        <v>0.10455175688881564</v>
      </c>
      <c r="W20" s="1171">
        <f t="shared" si="27"/>
        <v>0.10455175688881564</v>
      </c>
      <c r="X20" s="1171">
        <f t="shared" si="28"/>
        <v>0</v>
      </c>
      <c r="Y20" s="1171">
        <f t="shared" si="29"/>
        <v>0.10455175688881564</v>
      </c>
      <c r="Z20" s="1173"/>
    </row>
    <row r="21" spans="1:26" ht="25.9" customHeight="1">
      <c r="A21" s="1162">
        <f t="shared" ref="A21:A23" si="30">ROW()-8</f>
        <v>13</v>
      </c>
      <c r="B21" s="1163" t="s">
        <v>3535</v>
      </c>
      <c r="C21" s="1163" t="s">
        <v>3535</v>
      </c>
      <c r="D21" s="1163"/>
      <c r="E21" s="1152">
        <v>1</v>
      </c>
      <c r="F21" s="1152"/>
      <c r="G21" s="1153">
        <f t="shared" ref="G21:G23" si="31">E21+F21</f>
        <v>1</v>
      </c>
      <c r="H21" s="1152" t="s">
        <v>3486</v>
      </c>
      <c r="I21" s="1163"/>
      <c r="J21" s="1164"/>
      <c r="K21" s="1163"/>
      <c r="L21" s="1163"/>
      <c r="M21" s="1163">
        <v>12</v>
      </c>
      <c r="N21" s="1220" t="s">
        <v>4053</v>
      </c>
      <c r="O21" s="1165" t="s">
        <v>4054</v>
      </c>
      <c r="P21" s="1166">
        <v>1000</v>
      </c>
      <c r="Q21" s="1166"/>
      <c r="R21" s="1167">
        <v>1.3656200000000001</v>
      </c>
      <c r="S21" s="1168"/>
      <c r="T21" s="1169">
        <f t="shared" si="25"/>
        <v>0.8</v>
      </c>
      <c r="U21" s="1170" cm="1">
        <f t="array" ref="U21">EBOM_Factor</f>
        <v>0.31042683161762363</v>
      </c>
      <c r="V21" s="1170">
        <f t="shared" ref="V21:V23" si="32">R21*U21*T21</f>
        <v>0.33914007183492739</v>
      </c>
      <c r="W21" s="1171">
        <f t="shared" ref="W21:W23" si="33">E21*V21</f>
        <v>0.33914007183492739</v>
      </c>
      <c r="X21" s="1171">
        <f t="shared" ref="X21:X23" si="34">F21*V21</f>
        <v>0</v>
      </c>
      <c r="Y21" s="1171">
        <f t="shared" ref="Y21:Y23" si="35">X21+W21</f>
        <v>0.33914007183492739</v>
      </c>
      <c r="Z21" s="1173"/>
    </row>
    <row r="22" spans="1:26" ht="25.9" customHeight="1">
      <c r="A22" s="1162">
        <f t="shared" si="30"/>
        <v>14</v>
      </c>
      <c r="B22" s="1163" t="s">
        <v>3499</v>
      </c>
      <c r="C22" s="1163" t="s">
        <v>4055</v>
      </c>
      <c r="D22" s="1163"/>
      <c r="E22" s="1152">
        <v>1</v>
      </c>
      <c r="F22" s="1152"/>
      <c r="G22" s="1153">
        <f t="shared" si="31"/>
        <v>1</v>
      </c>
      <c r="H22" s="1152" t="s">
        <v>3486</v>
      </c>
      <c r="I22" s="1163"/>
      <c r="J22" s="1164"/>
      <c r="K22" s="1163"/>
      <c r="L22" s="1163"/>
      <c r="M22" s="1163">
        <v>100</v>
      </c>
      <c r="N22" s="1220" t="s">
        <v>4056</v>
      </c>
      <c r="O22" s="1165" t="s">
        <v>4057</v>
      </c>
      <c r="P22" s="1166">
        <v>1000</v>
      </c>
      <c r="Q22" s="1166"/>
      <c r="R22" s="1167">
        <v>4.3346999999999998</v>
      </c>
      <c r="S22" s="1168"/>
      <c r="T22" s="1169">
        <f t="shared" si="25"/>
        <v>0.8</v>
      </c>
      <c r="U22" s="1170" cm="1">
        <f t="array" ref="U22">EBOM_Factor</f>
        <v>0.31042683161762363</v>
      </c>
      <c r="V22" s="1170">
        <f t="shared" si="32"/>
        <v>1.0764857496103306</v>
      </c>
      <c r="W22" s="1171">
        <f t="shared" si="33"/>
        <v>1.0764857496103306</v>
      </c>
      <c r="X22" s="1171">
        <f t="shared" si="34"/>
        <v>0</v>
      </c>
      <c r="Y22" s="1171">
        <f t="shared" si="35"/>
        <v>1.0764857496103306</v>
      </c>
      <c r="Z22" s="1173"/>
    </row>
    <row r="23" spans="1:26" ht="25.9" customHeight="1">
      <c r="A23" s="1162">
        <f t="shared" si="30"/>
        <v>15</v>
      </c>
      <c r="B23" s="1163" t="s">
        <v>3499</v>
      </c>
      <c r="C23" s="1163" t="s">
        <v>4058</v>
      </c>
      <c r="D23" s="1163"/>
      <c r="E23" s="1152">
        <v>1</v>
      </c>
      <c r="F23" s="1152"/>
      <c r="G23" s="1153">
        <f t="shared" si="31"/>
        <v>1</v>
      </c>
      <c r="H23" s="1152" t="s">
        <v>3486</v>
      </c>
      <c r="I23" s="1163"/>
      <c r="J23" s="1164"/>
      <c r="K23" s="1163"/>
      <c r="L23" s="1163"/>
      <c r="M23" s="1163">
        <v>16</v>
      </c>
      <c r="N23" s="1220" t="s">
        <v>4059</v>
      </c>
      <c r="O23" s="1165" t="s">
        <v>4060</v>
      </c>
      <c r="P23" s="1166">
        <v>1000</v>
      </c>
      <c r="Q23" s="1166"/>
      <c r="R23" s="1167">
        <v>3.2868499999999998</v>
      </c>
      <c r="S23" s="1168"/>
      <c r="T23" s="1169">
        <f t="shared" si="25"/>
        <v>0.8</v>
      </c>
      <c r="U23" s="1170" cm="1">
        <f t="array" ref="U23">EBOM_Factor</f>
        <v>0.31042683161762363</v>
      </c>
      <c r="V23" s="1170">
        <f t="shared" si="32"/>
        <v>0.81626114520190896</v>
      </c>
      <c r="W23" s="1171">
        <f t="shared" si="33"/>
        <v>0.81626114520190896</v>
      </c>
      <c r="X23" s="1171">
        <f t="shared" si="34"/>
        <v>0</v>
      </c>
      <c r="Y23" s="1171">
        <f t="shared" si="35"/>
        <v>0.81626114520190896</v>
      </c>
      <c r="Z23" s="1173"/>
    </row>
    <row r="24" spans="1:26" ht="25.9" customHeight="1">
      <c r="A24" s="1162">
        <f t="shared" si="17"/>
        <v>16</v>
      </c>
      <c r="B24" s="1163" t="s">
        <v>667</v>
      </c>
      <c r="C24" s="1163" t="s">
        <v>4123</v>
      </c>
      <c r="D24" s="1163"/>
      <c r="E24" s="1152">
        <v>1</v>
      </c>
      <c r="F24" s="1152"/>
      <c r="G24" s="1153">
        <f t="shared" si="18"/>
        <v>1</v>
      </c>
      <c r="H24" s="1152"/>
      <c r="I24" s="1163"/>
      <c r="J24" s="1164"/>
      <c r="K24" s="1163"/>
      <c r="L24" s="1163"/>
      <c r="M24" s="1163">
        <v>0</v>
      </c>
      <c r="N24" s="1220" t="s">
        <v>4125</v>
      </c>
      <c r="O24" s="1165" t="s">
        <v>4063</v>
      </c>
      <c r="P24" s="1166">
        <v>5000</v>
      </c>
      <c r="Q24" s="1166"/>
      <c r="R24" s="1167">
        <f>Info!E21</f>
        <v>4.4088288176576362E-6</v>
      </c>
      <c r="S24" s="1168"/>
      <c r="T24" s="1169">
        <f t="shared" si="25"/>
        <v>0.8</v>
      </c>
      <c r="U24" s="1170" cm="1">
        <f t="array" ref="U24">EBOM_Factor</f>
        <v>0.4114139401538276</v>
      </c>
      <c r="V24" s="1170">
        <f t="shared" si="19"/>
        <v>1.4510829082690156E-6</v>
      </c>
      <c r="W24" s="1171">
        <f t="shared" si="20"/>
        <v>1.4510829082690156E-6</v>
      </c>
      <c r="X24" s="1171">
        <f t="shared" si="21"/>
        <v>0</v>
      </c>
      <c r="Y24" s="1171">
        <f t="shared" si="22"/>
        <v>1.4510829082690156E-6</v>
      </c>
      <c r="Z24" s="1173"/>
    </row>
    <row r="25" spans="1:26" ht="25.9" customHeight="1">
      <c r="A25" s="1162">
        <f t="shared" ref="A25:A26" si="36">ROW()-8</f>
        <v>17</v>
      </c>
      <c r="B25" s="1163" t="s">
        <v>667</v>
      </c>
      <c r="C25" s="1163" t="s">
        <v>4105</v>
      </c>
      <c r="D25" s="1163"/>
      <c r="E25" s="1152">
        <v>1</v>
      </c>
      <c r="F25" s="1152"/>
      <c r="G25" s="1153">
        <f>E25+F25</f>
        <v>1</v>
      </c>
      <c r="H25" s="1152"/>
      <c r="I25" s="1163"/>
      <c r="J25" s="1164"/>
      <c r="K25" s="1163"/>
      <c r="L25" s="1163"/>
      <c r="M25" s="1163">
        <v>0</v>
      </c>
      <c r="N25" s="1163" t="s">
        <v>4124</v>
      </c>
      <c r="O25" s="1165" t="s">
        <v>4063</v>
      </c>
      <c r="P25" s="1166">
        <v>5000</v>
      </c>
      <c r="Q25" s="1166"/>
      <c r="R25" s="1167">
        <f>Info!E22</f>
        <v>7.201087068840805E-7</v>
      </c>
      <c r="S25" s="1168"/>
      <c r="T25" s="1169">
        <f t="shared" si="25"/>
        <v>0.8</v>
      </c>
      <c r="U25" s="1170" cm="1">
        <f t="array" ref="U25">EBOM_Factor</f>
        <v>0.4114139401538276</v>
      </c>
      <c r="V25" s="1170">
        <f t="shared" si="0"/>
        <v>2.3701020835060583E-7</v>
      </c>
      <c r="W25" s="1171">
        <f t="shared" ref="W25:W27" si="37">E25*V25</f>
        <v>2.3701020835060583E-7</v>
      </c>
      <c r="X25" s="1171">
        <f t="shared" ref="X25:X27" si="38">F25*V25</f>
        <v>0</v>
      </c>
      <c r="Y25" s="1171">
        <f>X25+W25</f>
        <v>2.3701020835060583E-7</v>
      </c>
      <c r="Z25" s="1173"/>
    </row>
    <row r="26" spans="1:26" ht="25.9" customHeight="1">
      <c r="A26" s="1162">
        <f t="shared" si="36"/>
        <v>18</v>
      </c>
      <c r="B26" s="1163"/>
      <c r="C26" s="1163"/>
      <c r="D26" s="1163"/>
      <c r="E26" s="1152"/>
      <c r="F26" s="1152"/>
      <c r="G26" s="1153">
        <f t="shared" ref="G26:G27" si="39">E26+F26</f>
        <v>0</v>
      </c>
      <c r="H26" s="1152"/>
      <c r="I26" s="1163"/>
      <c r="J26" s="1164"/>
      <c r="K26" s="1163"/>
      <c r="L26" s="1163"/>
      <c r="M26" s="1163"/>
      <c r="N26" s="1163"/>
      <c r="O26" s="1165"/>
      <c r="P26" s="1166"/>
      <c r="Q26" s="1166"/>
      <c r="R26" s="1167"/>
      <c r="S26" s="1168"/>
      <c r="T26" s="1169">
        <f t="shared" si="25"/>
        <v>0.8</v>
      </c>
      <c r="U26" s="1170" cm="1">
        <f t="array" ref="U26">EBOM_Factor</f>
        <v>0</v>
      </c>
      <c r="V26" s="1170">
        <f t="shared" si="0"/>
        <v>0</v>
      </c>
      <c r="W26" s="1171">
        <f t="shared" si="37"/>
        <v>0</v>
      </c>
      <c r="X26" s="1171">
        <f t="shared" si="38"/>
        <v>0</v>
      </c>
      <c r="Y26" s="1171">
        <f t="shared" ref="Y26:Y27" si="40">X26+W26</f>
        <v>0</v>
      </c>
      <c r="Z26" s="1173"/>
    </row>
    <row r="27" spans="1:26" ht="25.9" customHeight="1">
      <c r="A27" s="1174"/>
      <c r="B27" s="1175" t="s">
        <v>3525</v>
      </c>
      <c r="C27" s="1163"/>
      <c r="D27" s="1164"/>
      <c r="E27" s="1152"/>
      <c r="F27" s="1152"/>
      <c r="G27" s="1153">
        <f t="shared" si="39"/>
        <v>0</v>
      </c>
      <c r="H27" s="1152"/>
      <c r="I27" s="1164"/>
      <c r="J27" s="1163"/>
      <c r="K27" s="1163"/>
      <c r="L27" s="1163"/>
      <c r="M27" s="1163"/>
      <c r="N27" s="1163"/>
      <c r="O27" s="1165"/>
      <c r="P27" s="1166"/>
      <c r="Q27" s="1166"/>
      <c r="R27" s="1167"/>
      <c r="S27" s="1168"/>
      <c r="T27" s="1169">
        <f t="shared" si="25"/>
        <v>0.8</v>
      </c>
      <c r="U27" s="1170" cm="1">
        <f t="array" ref="U27">EBOM_Factor</f>
        <v>0</v>
      </c>
      <c r="V27" s="1170">
        <f t="shared" si="0"/>
        <v>0</v>
      </c>
      <c r="W27" s="1171">
        <f t="shared" si="37"/>
        <v>0</v>
      </c>
      <c r="X27" s="1171">
        <f t="shared" si="38"/>
        <v>0</v>
      </c>
      <c r="Y27" s="1171">
        <f t="shared" si="40"/>
        <v>0</v>
      </c>
      <c r="Z27" s="1173"/>
    </row>
    <row r="28" spans="1:26" ht="25.9" customHeight="1">
      <c r="A28" s="1162">
        <f>ROW()-8</f>
        <v>20</v>
      </c>
      <c r="B28" s="1163" t="s">
        <v>3506</v>
      </c>
      <c r="C28" s="1163" t="s">
        <v>4129</v>
      </c>
      <c r="D28" s="1163"/>
      <c r="E28" s="1152"/>
      <c r="F28" s="1152">
        <v>8</v>
      </c>
      <c r="G28" s="1153">
        <f>E28+F28</f>
        <v>8</v>
      </c>
      <c r="H28" s="1152" t="s">
        <v>3493</v>
      </c>
      <c r="I28" s="1163"/>
      <c r="J28" s="1164"/>
      <c r="K28" s="1163"/>
      <c r="L28" s="1163"/>
      <c r="M28" s="1163">
        <v>1</v>
      </c>
      <c r="N28" s="1163" t="s">
        <v>4061</v>
      </c>
      <c r="O28" s="1165" t="s">
        <v>4161</v>
      </c>
      <c r="P28" s="1166">
        <v>10000</v>
      </c>
      <c r="Q28" s="1166"/>
      <c r="R28" s="1167">
        <v>7.3999999999999996E-2</v>
      </c>
      <c r="S28" s="1168"/>
      <c r="T28" s="1169">
        <f t="shared" si="25"/>
        <v>0.8</v>
      </c>
      <c r="U28" s="1170" cm="1">
        <f t="array" ref="U28">EBOM_Factor</f>
        <v>0.32278883509773854</v>
      </c>
      <c r="V28" s="1170">
        <f t="shared" si="0"/>
        <v>1.9109099037786122E-2</v>
      </c>
      <c r="W28" s="1171">
        <f>E28*V28</f>
        <v>0</v>
      </c>
      <c r="X28" s="1171">
        <f>F28*V28</f>
        <v>0.15287279230228898</v>
      </c>
      <c r="Y28" s="1171">
        <f>X28+W28</f>
        <v>0.15287279230228898</v>
      </c>
      <c r="Z28" s="1173"/>
    </row>
    <row r="29" spans="1:26" ht="25.9" customHeight="1">
      <c r="A29" s="1162">
        <f t="shared" ref="A29:A33" si="41">ROW()-8</f>
        <v>21</v>
      </c>
      <c r="B29" s="1163"/>
      <c r="C29" s="1163"/>
      <c r="D29" s="1163"/>
      <c r="E29" s="1152"/>
      <c r="F29" s="1152"/>
      <c r="G29" s="1153">
        <f t="shared" ref="G29:G33" si="42">E29+F29</f>
        <v>0</v>
      </c>
      <c r="H29" s="1152"/>
      <c r="I29" s="1163"/>
      <c r="J29" s="1164"/>
      <c r="K29" s="1163"/>
      <c r="L29" s="1163"/>
      <c r="M29" s="1163"/>
      <c r="N29" s="1163"/>
      <c r="O29" s="1165"/>
      <c r="P29" s="1166"/>
      <c r="Q29" s="1166"/>
      <c r="R29" s="1167"/>
      <c r="S29" s="1168"/>
      <c r="T29" s="1169">
        <f t="shared" si="25"/>
        <v>0.8</v>
      </c>
      <c r="U29" s="1170" cm="1">
        <f t="array" ref="U29">EBOM_Factor</f>
        <v>0</v>
      </c>
      <c r="V29" s="1170">
        <f t="shared" si="0"/>
        <v>0</v>
      </c>
      <c r="W29" s="1171">
        <f t="shared" ref="W29:W33" si="43">E29*V29</f>
        <v>0</v>
      </c>
      <c r="X29" s="1171">
        <f t="shared" ref="X29:X33" si="44">F29*V29</f>
        <v>0</v>
      </c>
      <c r="Y29" s="1171">
        <f t="shared" ref="Y29:Y33" si="45">X29+W29</f>
        <v>0</v>
      </c>
      <c r="Z29" s="1173"/>
    </row>
    <row r="30" spans="1:26" ht="25.9" customHeight="1">
      <c r="A30" s="1162">
        <f t="shared" si="41"/>
        <v>22</v>
      </c>
      <c r="B30" s="1163"/>
      <c r="C30" s="1163"/>
      <c r="D30" s="1163"/>
      <c r="E30" s="1152"/>
      <c r="F30" s="1152"/>
      <c r="G30" s="1153">
        <f t="shared" si="42"/>
        <v>0</v>
      </c>
      <c r="H30" s="1152"/>
      <c r="I30" s="1163"/>
      <c r="J30" s="1164"/>
      <c r="K30" s="1163"/>
      <c r="L30" s="1163"/>
      <c r="M30" s="1163"/>
      <c r="N30" s="1163"/>
      <c r="O30" s="1165"/>
      <c r="P30" s="1166"/>
      <c r="Q30" s="1166"/>
      <c r="R30" s="1167"/>
      <c r="S30" s="1168"/>
      <c r="T30" s="1169">
        <f t="shared" si="25"/>
        <v>0.8</v>
      </c>
      <c r="U30" s="1170" cm="1">
        <f t="array" ref="U30">EBOM_Factor</f>
        <v>0</v>
      </c>
      <c r="V30" s="1170">
        <f t="shared" si="0"/>
        <v>0</v>
      </c>
      <c r="W30" s="1171">
        <f t="shared" si="43"/>
        <v>0</v>
      </c>
      <c r="X30" s="1171">
        <f t="shared" si="44"/>
        <v>0</v>
      </c>
      <c r="Y30" s="1171">
        <f t="shared" si="45"/>
        <v>0</v>
      </c>
      <c r="Z30" s="1173"/>
    </row>
    <row r="31" spans="1:26" ht="25.9" customHeight="1">
      <c r="A31" s="1162">
        <f t="shared" si="41"/>
        <v>23</v>
      </c>
      <c r="B31" s="1163"/>
      <c r="C31" s="1163"/>
      <c r="D31" s="1163"/>
      <c r="E31" s="1152"/>
      <c r="F31" s="1152"/>
      <c r="G31" s="1153">
        <f t="shared" si="42"/>
        <v>0</v>
      </c>
      <c r="H31" s="1152"/>
      <c r="I31" s="1163"/>
      <c r="J31" s="1164"/>
      <c r="K31" s="1163"/>
      <c r="L31" s="1163"/>
      <c r="M31" s="1163"/>
      <c r="N31" s="1163"/>
      <c r="O31" s="1165"/>
      <c r="P31" s="1166"/>
      <c r="Q31" s="1166"/>
      <c r="R31" s="1167"/>
      <c r="S31" s="1168"/>
      <c r="T31" s="1169">
        <f t="shared" si="25"/>
        <v>0.8</v>
      </c>
      <c r="U31" s="1170" cm="1">
        <f t="array" ref="U31">EBOM_Factor</f>
        <v>0</v>
      </c>
      <c r="V31" s="1170">
        <f t="shared" si="0"/>
        <v>0</v>
      </c>
      <c r="W31" s="1171">
        <f t="shared" si="43"/>
        <v>0</v>
      </c>
      <c r="X31" s="1171">
        <f t="shared" si="44"/>
        <v>0</v>
      </c>
      <c r="Y31" s="1171">
        <f t="shared" si="45"/>
        <v>0</v>
      </c>
      <c r="Z31" s="1173"/>
    </row>
    <row r="32" spans="1:26" ht="25.9" customHeight="1">
      <c r="A32" s="1162">
        <f t="shared" si="41"/>
        <v>24</v>
      </c>
      <c r="B32" s="1163"/>
      <c r="C32" s="1163"/>
      <c r="D32" s="1163"/>
      <c r="E32" s="1152"/>
      <c r="F32" s="1152"/>
      <c r="G32" s="1153">
        <f t="shared" si="42"/>
        <v>0</v>
      </c>
      <c r="H32" s="1152"/>
      <c r="I32" s="1163"/>
      <c r="J32" s="1164"/>
      <c r="K32" s="1163"/>
      <c r="L32" s="1163"/>
      <c r="M32" s="1163"/>
      <c r="N32" s="1163"/>
      <c r="O32" s="1165"/>
      <c r="P32" s="1166"/>
      <c r="Q32" s="1166"/>
      <c r="R32" s="1167"/>
      <c r="S32" s="1168"/>
      <c r="T32" s="1169">
        <f t="shared" si="25"/>
        <v>0.8</v>
      </c>
      <c r="U32" s="1170" cm="1">
        <f t="array" ref="U32">EBOM_Factor</f>
        <v>0</v>
      </c>
      <c r="V32" s="1170">
        <f t="shared" si="0"/>
        <v>0</v>
      </c>
      <c r="W32" s="1171">
        <f t="shared" si="43"/>
        <v>0</v>
      </c>
      <c r="X32" s="1171">
        <f t="shared" si="44"/>
        <v>0</v>
      </c>
      <c r="Y32" s="1171">
        <f t="shared" si="45"/>
        <v>0</v>
      </c>
      <c r="Z32" s="1173"/>
    </row>
    <row r="33" spans="1:26" ht="25.9" customHeight="1">
      <c r="A33" s="1162">
        <f t="shared" si="41"/>
        <v>25</v>
      </c>
      <c r="B33" s="1163"/>
      <c r="C33" s="1163"/>
      <c r="D33" s="1163"/>
      <c r="E33" s="1152"/>
      <c r="F33" s="1152"/>
      <c r="G33" s="1153">
        <f t="shared" si="42"/>
        <v>0</v>
      </c>
      <c r="H33" s="1152"/>
      <c r="I33" s="1163"/>
      <c r="J33" s="1164"/>
      <c r="K33" s="1163"/>
      <c r="L33" s="1163"/>
      <c r="M33" s="1163"/>
      <c r="N33" s="1163"/>
      <c r="O33" s="1165"/>
      <c r="P33" s="1166"/>
      <c r="Q33" s="1166"/>
      <c r="R33" s="1167"/>
      <c r="S33" s="1168"/>
      <c r="T33" s="1169">
        <f t="shared" si="25"/>
        <v>0.8</v>
      </c>
      <c r="U33" s="1170" cm="1">
        <f t="array" ref="U33">EBOM_Factor</f>
        <v>0</v>
      </c>
      <c r="V33" s="1170">
        <f t="shared" si="0"/>
        <v>0</v>
      </c>
      <c r="W33" s="1171">
        <f t="shared" si="43"/>
        <v>0</v>
      </c>
      <c r="X33" s="1171">
        <f t="shared" si="44"/>
        <v>0</v>
      </c>
      <c r="Y33" s="1171">
        <f t="shared" si="45"/>
        <v>0</v>
      </c>
      <c r="Z33" s="1173"/>
    </row>
    <row r="34" spans="1:26" ht="25.9" customHeight="1">
      <c r="A34" s="1176"/>
      <c r="B34" s="1177" t="s">
        <v>3532</v>
      </c>
      <c r="C34" s="1177"/>
      <c r="D34" s="1177"/>
      <c r="E34" s="1177"/>
      <c r="F34" s="1177"/>
      <c r="G34" s="1177"/>
      <c r="H34" s="1177"/>
      <c r="I34" s="1177"/>
      <c r="J34" s="1177"/>
      <c r="K34" s="1177"/>
      <c r="L34" s="1177"/>
      <c r="M34" s="1177"/>
      <c r="N34" s="1177"/>
      <c r="O34" s="1177"/>
      <c r="P34" s="1177"/>
      <c r="Q34" s="1177"/>
      <c r="R34" s="1178">
        <f>SUM(R6:R33)</f>
        <v>11.088975128937525</v>
      </c>
      <c r="S34" s="1177"/>
      <c r="T34" s="1177"/>
      <c r="U34" s="1179"/>
      <c r="V34" s="1179"/>
      <c r="W34" s="1179">
        <f>SUM(EBOM[Price Top Side])</f>
        <v>3.1914369508814255</v>
      </c>
      <c r="X34" s="1179">
        <f>SUM(EBOM[Price Bottom Side])</f>
        <v>0.15287279230228898</v>
      </c>
      <c r="Y34" s="1179">
        <f>SUM(EBOM[Total Price])</f>
        <v>4.7198357810215521</v>
      </c>
      <c r="Z34" s="1179"/>
    </row>
    <row r="35" spans="1:26" ht="25.9" customHeight="1"/>
    <row r="36" spans="1:26" ht="25.9" customHeight="1" thickBot="1">
      <c r="E36" s="1180"/>
      <c r="F36" s="1180"/>
      <c r="G36" s="1180"/>
      <c r="H36" s="1322" t="s">
        <v>3524</v>
      </c>
      <c r="I36" s="1322"/>
      <c r="K36" s="1322" t="s">
        <v>3525</v>
      </c>
      <c r="L36" s="1322"/>
      <c r="N36" s="1180"/>
      <c r="P36" s="1180"/>
      <c r="Q36" s="1180"/>
      <c r="R36" s="1181"/>
      <c r="S36" s="1182"/>
      <c r="T36" s="1182"/>
      <c r="U36" s="1183"/>
      <c r="V36" s="1184"/>
      <c r="X36" s="1180"/>
    </row>
    <row r="37" spans="1:26" ht="25.9" customHeight="1">
      <c r="E37" s="1180"/>
      <c r="F37" s="1180"/>
      <c r="G37" s="1180"/>
      <c r="H37" s="1185" t="s">
        <v>3486</v>
      </c>
      <c r="I37" s="1186">
        <f>SUMIF(EBOM[SMD/THT],"SMD",EBOM[Quantity 
Top Side])</f>
        <v>119</v>
      </c>
      <c r="K37" s="1185" t="s">
        <v>3486</v>
      </c>
      <c r="L37" s="1186">
        <f>SUMIF(EBOM[SMD/THT],"SMD",EBOM[Quantity 
Bottom Side])</f>
        <v>0</v>
      </c>
      <c r="N37" s="1180"/>
      <c r="R37" s="1181"/>
      <c r="S37" s="1182"/>
      <c r="T37" s="1182"/>
      <c r="U37" s="1183"/>
      <c r="V37" s="1184"/>
      <c r="W37" s="1183"/>
      <c r="X37" s="1180"/>
    </row>
    <row r="38" spans="1:26" ht="25.9" customHeight="1">
      <c r="E38" s="1180"/>
      <c r="F38" s="1180"/>
      <c r="G38" s="1180"/>
      <c r="H38" s="1187" t="s">
        <v>3493</v>
      </c>
      <c r="I38" s="1188">
        <f>SUMIF(EBOM[SMD/THT],"THT-radial",EBOM[Quantity 
Top Side])</f>
        <v>2</v>
      </c>
      <c r="K38" s="1187" t="s">
        <v>3493</v>
      </c>
      <c r="L38" s="1188">
        <f>SUMIF(EBOM[SMD/THT],"THT-radial",EBOM[Quantity 
Bottom Side])</f>
        <v>8</v>
      </c>
      <c r="N38" s="1180"/>
      <c r="R38" s="1181"/>
      <c r="S38" s="1182"/>
      <c r="T38" s="1182"/>
      <c r="U38" s="1183"/>
      <c r="V38" s="1184"/>
      <c r="W38" s="1183"/>
      <c r="X38" s="1180"/>
    </row>
    <row r="39" spans="1:26" ht="25.9" customHeight="1">
      <c r="E39" s="1180"/>
      <c r="F39" s="1180"/>
      <c r="G39" s="1180"/>
      <c r="H39" s="1187" t="s">
        <v>3494</v>
      </c>
      <c r="I39" s="1188">
        <f>SUMIF(EBOM[SMD/THT],"THT-axial",EBOM[Quantity 
Top Side])</f>
        <v>0</v>
      </c>
      <c r="K39" s="1187" t="s">
        <v>3494</v>
      </c>
      <c r="L39" s="1188">
        <f>SUMIF(EBOM[SMD/THT],"THT-axial",EBOM[Quantity 
Bottom Side])</f>
        <v>0</v>
      </c>
      <c r="N39" s="1180"/>
      <c r="R39" s="1181"/>
      <c r="S39" s="1182"/>
      <c r="T39" s="1182"/>
      <c r="U39" s="1183"/>
      <c r="V39" s="1184"/>
      <c r="W39" s="1183"/>
      <c r="X39" s="1180"/>
    </row>
    <row r="40" spans="1:26" ht="25.9" customHeight="1" thickBot="1">
      <c r="E40" s="1180"/>
      <c r="F40" s="1180"/>
      <c r="G40" s="1180"/>
      <c r="H40" s="1189" t="s">
        <v>3543</v>
      </c>
      <c r="I40" s="1190">
        <f>SUMIF(EBOM[SMD/THT],H40,EBOM[Quantity 
Top Side])</f>
        <v>0</v>
      </c>
      <c r="K40" s="1189" t="s">
        <v>3543</v>
      </c>
      <c r="L40" s="1190">
        <f>SUMIF(EBOM[SMD/THT],K40,EBOM[Quantity 
Bottom Side])</f>
        <v>0</v>
      </c>
      <c r="N40" s="1180"/>
      <c r="R40" s="1181"/>
      <c r="S40" s="1182"/>
      <c r="T40" s="1182"/>
      <c r="U40" s="1183"/>
      <c r="V40" s="1184"/>
      <c r="W40" s="1183"/>
      <c r="X40" s="1180"/>
    </row>
    <row r="41" spans="1:26" ht="25.9" customHeight="1" thickBot="1"/>
    <row r="42" spans="1:26" ht="25.9" customHeight="1">
      <c r="H42" s="1191" t="s">
        <v>4008</v>
      </c>
      <c r="I42" s="1192" t="str">
        <f>H36</f>
        <v>TOP SIDE</v>
      </c>
      <c r="J42" s="1193" t="str">
        <f>K36</f>
        <v>BOTTOM SIDE</v>
      </c>
    </row>
    <row r="43" spans="1:26" ht="25.9" customHeight="1">
      <c r="H43" s="1194" t="str">
        <f>C74</f>
        <v>Resistor</v>
      </c>
      <c r="I43" s="1152">
        <f>SUMIFS(EBOM[Quantity 
Top Side],EBOM[SMD/THT],"SMD",EBOM[Type],H43)</f>
        <v>64</v>
      </c>
      <c r="J43" s="1195">
        <f>SUMIFS(EBOM[Quantity 
Bottom Side],EBOM[SMD/THT],"SMD",EBOM[Type],H43)</f>
        <v>0</v>
      </c>
    </row>
    <row r="44" spans="1:26" ht="25.9" customHeight="1">
      <c r="H44" s="1194" t="str">
        <f>C72</f>
        <v>Capacitor</v>
      </c>
      <c r="I44" s="1152">
        <f>SUMIFS(EBOM[Quantity 
Top Side],EBOM[SMD/THT],"SMD",EBOM[Type],H44)</f>
        <v>41</v>
      </c>
      <c r="J44" s="1195">
        <f>SUMIFS(EBOM[Quantity 
Bottom Side],EBOM[SMD/THT],"SMD",EBOM[Type],H44)</f>
        <v>0</v>
      </c>
    </row>
    <row r="45" spans="1:26" ht="25.9" customHeight="1">
      <c r="H45" s="1194" t="s">
        <v>3545</v>
      </c>
      <c r="I45" s="1152">
        <f>IF((SUMIFS(EBOM[Quantity 
Top Side],EBOM[SMD/THT],"SMD",EBOM[Link],"Shortlist")+SUMIFS(EBOM[Quantity 
Top Side],EBOM[SMD/THT],"SMD",EBOM[Link],"Standard")-I43-I44)&lt;0,"Tabellenspalte 'Link' ausfüllen",SUMIFS(EBOM[Quantity 
Top Side],EBOM[SMD/THT],"SMD",EBOM[Link],"Shortlist")+SUMIFS(EBOM[Quantity 
Top Side],EBOM[SMD/THT],"SMD",EBOM[Link],"Standard")-I43-I44)</f>
        <v>10</v>
      </c>
      <c r="J45" s="1195">
        <f>IF((SUMIFS(EBOM[Quantity 
Bottom Side],EBOM[SMD/THT],"SMD",EBOM[Link],"Shortlist")+SUMIFS(EBOM[Quantity 
Bottom Side],EBOM[SMD/THT],"SMD",EBOM[Link],"Standard")-J43-J44)&lt;0,"Tabellenspalte 'Link' ausfüllen",SUMIFS(EBOM[Quantity 
Bottom Side],EBOM[SMD/THT],"SMD",EBOM[Link],"Shortlist")+SUMIFS(EBOM[Quantity 
Bottom Side],EBOM[SMD/THT],"SMD",EBOM[Link],"Standard")-J43-J44)</f>
        <v>0</v>
      </c>
    </row>
    <row r="46" spans="1:26" ht="25.9" customHeight="1">
      <c r="H46" s="1194" t="s">
        <v>3546</v>
      </c>
      <c r="I46" s="1152">
        <f>I37-I43-I44-I45-I47</f>
        <v>1</v>
      </c>
      <c r="J46" s="1195">
        <f>L37-J43-J44-J45-J47</f>
        <v>0</v>
      </c>
    </row>
    <row r="47" spans="1:26" ht="25.9" customHeight="1" thickBot="1">
      <c r="H47" s="1196" t="s">
        <v>3547</v>
      </c>
      <c r="I47" s="1197">
        <f>I48+I49</f>
        <v>3</v>
      </c>
      <c r="J47" s="1198"/>
    </row>
    <row r="48" spans="1:26" ht="25.9" customHeight="1">
      <c r="H48" s="1199" t="s">
        <v>3499</v>
      </c>
      <c r="I48" s="1200">
        <f>SUMIFS(EBOM[Quantity 
Top Side],EBOM[Group],H48,EBOM[SMD/THT],"SMD")</f>
        <v>2</v>
      </c>
      <c r="J48" s="1201">
        <f>SUMIFS(EBOM[Quantity 
Bottom Side],EBOM[SMD/THT],"SMD",EBOM[Group],H48)</f>
        <v>0</v>
      </c>
    </row>
    <row r="49" spans="1:11" ht="25.9" customHeight="1">
      <c r="H49" s="1202" t="s">
        <v>3535</v>
      </c>
      <c r="I49" s="1203">
        <f>SUMIFS(EBOM[Quantity 
Top Side],EBOM[Group],H49,EBOM[SMD/THT],"SMD")</f>
        <v>1</v>
      </c>
      <c r="J49" s="1204">
        <f>SUMIFS(EBOM[Quantity 
Bottom Side],EBOM[SMD/THT],"SMD",EBOM[Group],H49)</f>
        <v>0</v>
      </c>
    </row>
    <row r="50" spans="1:11" ht="25.9" customHeight="1"/>
    <row r="51" spans="1:11" ht="25.9" customHeight="1"/>
    <row r="52" spans="1:11" ht="25.9" customHeight="1"/>
    <row r="53" spans="1:11" ht="25.9" customHeight="1"/>
    <row r="54" spans="1:11" ht="25.9" customHeight="1"/>
    <row r="55" spans="1:11" ht="25.9" hidden="1" customHeight="1" thickBot="1">
      <c r="A55" s="1205" t="s">
        <v>4009</v>
      </c>
      <c r="B55" s="1206"/>
      <c r="C55" s="1206"/>
      <c r="D55" s="1206"/>
      <c r="E55" s="1206"/>
      <c r="F55" s="1206"/>
      <c r="G55" s="1206"/>
      <c r="H55" s="1206"/>
      <c r="I55" s="1206"/>
      <c r="J55" s="1206"/>
      <c r="K55" s="1207"/>
    </row>
    <row r="56" spans="1:11" ht="25.9" hidden="1" customHeight="1">
      <c r="A56" s="1208" t="s">
        <v>4009</v>
      </c>
      <c r="H56" s="1191" t="s">
        <v>4008</v>
      </c>
      <c r="I56" s="1192" t="str">
        <f>H36</f>
        <v>TOP SIDE</v>
      </c>
      <c r="J56" s="1193" t="str">
        <f>K36</f>
        <v>BOTTOM SIDE</v>
      </c>
      <c r="K56" s="1201"/>
    </row>
    <row r="57" spans="1:11" ht="25.9" hidden="1" customHeight="1">
      <c r="A57" s="1208" t="s">
        <v>4009</v>
      </c>
      <c r="H57" s="1194" t="s">
        <v>3555</v>
      </c>
      <c r="I57" s="1152">
        <f>SUMIFS(EBOM[Quantity 
Top Side],EBOM[SMD/THT],"SMD",EBOM[Type],H57)</f>
        <v>64</v>
      </c>
      <c r="J57" s="1195">
        <f>SUMIFS(EBOM[Quantity 
Bottom Side],EBOM[SMD/THT],"SMD",EBOM[Type],"Widerstand")</f>
        <v>0</v>
      </c>
      <c r="K57" s="1201"/>
    </row>
    <row r="58" spans="1:11" ht="25.9" hidden="1" customHeight="1">
      <c r="A58" s="1208" t="s">
        <v>4009</v>
      </c>
      <c r="H58" s="1194" t="s">
        <v>3553</v>
      </c>
      <c r="I58" s="1152">
        <f>SUMIFS(EBOM[Quantity 
Top Side],EBOM[SMD/THT],"SMD",EBOM[Type],H58)</f>
        <v>41</v>
      </c>
      <c r="J58" s="1195">
        <f>SUMIFS(EBOM[Quantity 
Bottom Side],EBOM[SMD/THT],"SMD",EBOM[Type],"Kondensator")</f>
        <v>0</v>
      </c>
      <c r="K58" s="1201"/>
    </row>
    <row r="59" spans="1:11" ht="25.9" hidden="1" customHeight="1">
      <c r="A59" s="1208" t="s">
        <v>4009</v>
      </c>
      <c r="H59" s="1194" t="s">
        <v>3545</v>
      </c>
      <c r="I59" s="1152">
        <f>SUMIFS(EBOM[Quantity 
Top Side],EBOM[SMD/THT],"SMD",EBOM[Link],"Shortlist")+SUMIFS(EBOM[Quantity 
Top Side],EBOM[SMD/THT],"SMD",EBOM[Link],"Standard")-I58-I57</f>
        <v>10</v>
      </c>
      <c r="J59" s="1195">
        <f>SUMIFS(EBOM[Quantity 
Bottom Side],EBOM[SMD/THT],"SMD",EBOM[Link],"Standard")-J58-J57</f>
        <v>0</v>
      </c>
      <c r="K59" s="1201"/>
    </row>
    <row r="60" spans="1:11" ht="25.9" hidden="1" customHeight="1">
      <c r="A60" s="1208" t="s">
        <v>4009</v>
      </c>
      <c r="H60" s="1194" t="s">
        <v>3546</v>
      </c>
      <c r="I60" s="1152">
        <f>I37-I57-I58-I59-I61</f>
        <v>1</v>
      </c>
      <c r="J60" s="1195">
        <f>L37-J57-J58-J59-J61</f>
        <v>0</v>
      </c>
      <c r="K60" s="1201"/>
    </row>
    <row r="61" spans="1:11" ht="25.9" hidden="1" customHeight="1" thickBot="1">
      <c r="A61" s="1208" t="s">
        <v>4009</v>
      </c>
      <c r="H61" s="1196" t="s">
        <v>3547</v>
      </c>
      <c r="I61" s="1197">
        <f>I62+I63</f>
        <v>3</v>
      </c>
      <c r="J61" s="1198">
        <f>J62+J63</f>
        <v>0</v>
      </c>
      <c r="K61" s="1201"/>
    </row>
    <row r="62" spans="1:11" ht="25.9" hidden="1" customHeight="1">
      <c r="A62" s="1208" t="s">
        <v>4009</v>
      </c>
      <c r="H62" s="1199" t="s">
        <v>3499</v>
      </c>
      <c r="I62" s="1144">
        <f>SUMIFS(EBOM[Quantity 
Top Side],EBOM[SMD/THT],"SMD",EBOM[Group],H62)</f>
        <v>2</v>
      </c>
      <c r="J62" s="1201">
        <f>SUMIFS(EBOM[Quantity 
Bottom Side],EBOM[SMD/THT],"SMD",EBOM[Group],H62)</f>
        <v>0</v>
      </c>
      <c r="K62" s="1201"/>
    </row>
    <row r="63" spans="1:11" ht="25.9" hidden="1" customHeight="1">
      <c r="A63" s="1208" t="s">
        <v>4009</v>
      </c>
      <c r="H63" s="1202" t="s">
        <v>3535</v>
      </c>
      <c r="I63" s="1209">
        <f>SUMIFS(EBOM[Quantity 
Top Side],EBOM[SMD/THT],"SMD",EBOM[Group],H63)</f>
        <v>1</v>
      </c>
      <c r="J63" s="1204">
        <f>SUMIFS(EBOM[Quantity 
Bottom Side],EBOM[SMD/THT],"SMD",EBOM[Group],H63)</f>
        <v>0</v>
      </c>
      <c r="K63" s="1201"/>
    </row>
    <row r="64" spans="1:11" ht="25.9" hidden="1" customHeight="1">
      <c r="A64" s="1208" t="s">
        <v>4009</v>
      </c>
      <c r="K64" s="1201"/>
    </row>
    <row r="65" spans="1:20" ht="25.9" hidden="1" customHeight="1">
      <c r="A65" s="1208" t="s">
        <v>4009</v>
      </c>
      <c r="K65" s="1201"/>
    </row>
    <row r="66" spans="1:20" ht="25.9" hidden="1" customHeight="1">
      <c r="A66" s="1208" t="s">
        <v>4009</v>
      </c>
      <c r="K66" s="1201"/>
    </row>
    <row r="67" spans="1:20" ht="25.9" hidden="1" customHeight="1">
      <c r="A67" s="1208" t="s">
        <v>4009</v>
      </c>
      <c r="K67" s="1201"/>
    </row>
    <row r="68" spans="1:20" ht="25.9" hidden="1" customHeight="1">
      <c r="A68" s="1208" t="s">
        <v>4009</v>
      </c>
      <c r="K68" s="1201"/>
    </row>
    <row r="69" spans="1:20" ht="25.9" hidden="1" customHeight="1">
      <c r="A69" s="1208" t="s">
        <v>4009</v>
      </c>
      <c r="B69" s="1323" t="s">
        <v>4010</v>
      </c>
      <c r="C69" s="1324"/>
      <c r="K69" s="1201"/>
    </row>
    <row r="70" spans="1:20" ht="25.9" hidden="1" customHeight="1">
      <c r="A70" s="1208" t="s">
        <v>4009</v>
      </c>
      <c r="B70" s="1211" t="s">
        <v>4011</v>
      </c>
      <c r="C70" s="1212" t="s">
        <v>3509</v>
      </c>
      <c r="D70" s="1211" t="s">
        <v>3467</v>
      </c>
      <c r="F70" s="1212" t="s">
        <v>3553</v>
      </c>
      <c r="G70" s="1212" t="s">
        <v>3555</v>
      </c>
      <c r="H70" s="1212" t="s">
        <v>3490</v>
      </c>
      <c r="I70" s="1212" t="s">
        <v>3552</v>
      </c>
      <c r="J70" s="1212" t="s">
        <v>3554</v>
      </c>
      <c r="K70" s="1201"/>
      <c r="Q70" s="1213"/>
      <c r="T70" s="1144"/>
    </row>
    <row r="71" spans="1:20" ht="25.9" hidden="1" customHeight="1">
      <c r="A71" s="1208" t="s">
        <v>4009</v>
      </c>
      <c r="B71" s="1214" t="s">
        <v>3533</v>
      </c>
      <c r="C71" s="1144" t="s">
        <v>3552</v>
      </c>
      <c r="D71" s="1214" t="s">
        <v>3486</v>
      </c>
      <c r="F71" s="1144" t="s">
        <v>4012</v>
      </c>
      <c r="G71" s="1210" t="s">
        <v>4012</v>
      </c>
      <c r="H71" s="1144" t="s">
        <v>4013</v>
      </c>
      <c r="I71" s="1144" t="s">
        <v>4012</v>
      </c>
      <c r="J71" s="1144" t="s">
        <v>4012</v>
      </c>
      <c r="K71" s="1201"/>
      <c r="Q71" s="1213"/>
      <c r="T71" s="1144"/>
    </row>
    <row r="72" spans="1:20" ht="25.9" hidden="1" customHeight="1">
      <c r="A72" s="1208" t="s">
        <v>4009</v>
      </c>
      <c r="B72" s="1214" t="s">
        <v>3534</v>
      </c>
      <c r="C72" s="1144" t="s">
        <v>3553</v>
      </c>
      <c r="D72" s="1214" t="s">
        <v>3493</v>
      </c>
      <c r="F72" s="1144" t="s">
        <v>4014</v>
      </c>
      <c r="G72" s="1210" t="s">
        <v>4014</v>
      </c>
      <c r="H72" s="1144" t="s">
        <v>4015</v>
      </c>
      <c r="I72" s="1144" t="s">
        <v>4014</v>
      </c>
      <c r="J72" s="1144" t="s">
        <v>4014</v>
      </c>
      <c r="K72" s="1201"/>
      <c r="Q72" s="1213"/>
      <c r="T72" s="1144"/>
    </row>
    <row r="73" spans="1:20" ht="25.9" hidden="1" customHeight="1">
      <c r="A73" s="1208" t="s">
        <v>4009</v>
      </c>
      <c r="B73" s="1214" t="s">
        <v>3499</v>
      </c>
      <c r="C73" s="1144" t="s">
        <v>3554</v>
      </c>
      <c r="D73" s="1214" t="s">
        <v>3494</v>
      </c>
      <c r="F73" s="1144" t="s">
        <v>4016</v>
      </c>
      <c r="G73" s="1210" t="s">
        <v>4016</v>
      </c>
      <c r="H73" s="1144" t="s">
        <v>4017</v>
      </c>
      <c r="I73" s="1144" t="s">
        <v>4016</v>
      </c>
      <c r="J73" s="1144" t="s">
        <v>4016</v>
      </c>
      <c r="K73" s="1201"/>
      <c r="Q73" s="1213"/>
      <c r="T73" s="1144"/>
    </row>
    <row r="74" spans="1:20" ht="25.9" hidden="1" customHeight="1">
      <c r="A74" s="1208" t="s">
        <v>4009</v>
      </c>
      <c r="B74" s="1214" t="s">
        <v>3559</v>
      </c>
      <c r="C74" s="1144" t="s">
        <v>3555</v>
      </c>
      <c r="D74" s="1214" t="s">
        <v>3543</v>
      </c>
      <c r="F74" s="1144" t="s">
        <v>4018</v>
      </c>
      <c r="G74" s="1210" t="s">
        <v>4018</v>
      </c>
      <c r="H74" s="1144" t="s">
        <v>4019</v>
      </c>
      <c r="I74" s="1144" t="s">
        <v>4018</v>
      </c>
      <c r="J74" s="1144" t="s">
        <v>4018</v>
      </c>
      <c r="K74" s="1201"/>
      <c r="Q74" s="1213"/>
      <c r="T74" s="1144"/>
    </row>
    <row r="75" spans="1:20" ht="25.9" hidden="1" customHeight="1">
      <c r="A75" s="1208" t="s">
        <v>4009</v>
      </c>
      <c r="B75" s="1214" t="s">
        <v>3535</v>
      </c>
      <c r="C75" s="1144" t="s">
        <v>3490</v>
      </c>
      <c r="D75" s="1214"/>
      <c r="F75" s="1144" t="s">
        <v>4020</v>
      </c>
      <c r="G75" s="1210" t="s">
        <v>4020</v>
      </c>
      <c r="H75" s="1144" t="s">
        <v>4021</v>
      </c>
      <c r="K75" s="1201"/>
      <c r="Q75" s="1213"/>
      <c r="T75" s="1144"/>
    </row>
    <row r="76" spans="1:20" ht="25.9" hidden="1" customHeight="1">
      <c r="A76" s="1208" t="s">
        <v>4009</v>
      </c>
      <c r="B76" s="1214" t="s">
        <v>3536</v>
      </c>
      <c r="C76" s="1144" t="s">
        <v>3556</v>
      </c>
      <c r="D76" s="1214"/>
      <c r="G76" s="1210" t="s">
        <v>4022</v>
      </c>
      <c r="H76" s="1144" t="s">
        <v>4023</v>
      </c>
      <c r="K76" s="1201"/>
      <c r="Q76" s="1213"/>
      <c r="T76" s="1144"/>
    </row>
    <row r="77" spans="1:20" ht="25.9" hidden="1" customHeight="1">
      <c r="A77" s="1208" t="s">
        <v>4009</v>
      </c>
      <c r="B77" s="1214" t="s">
        <v>3537</v>
      </c>
      <c r="C77" s="1144" t="s">
        <v>3557</v>
      </c>
      <c r="D77" s="1214"/>
      <c r="G77" s="1210" t="s">
        <v>4024</v>
      </c>
      <c r="H77" s="1144" t="s">
        <v>4025</v>
      </c>
      <c r="K77" s="1201"/>
      <c r="Q77" s="1213"/>
      <c r="T77" s="1144"/>
    </row>
    <row r="78" spans="1:20" ht="25.9" hidden="1" customHeight="1">
      <c r="A78" s="1208" t="s">
        <v>4009</v>
      </c>
      <c r="B78" s="1214" t="s">
        <v>3506</v>
      </c>
      <c r="C78" s="1144" t="s">
        <v>3558</v>
      </c>
      <c r="D78" s="1214"/>
      <c r="H78" s="1144" t="s">
        <v>4026</v>
      </c>
      <c r="K78" s="1201"/>
      <c r="Q78" s="1213"/>
      <c r="T78" s="1144"/>
    </row>
    <row r="79" spans="1:20" ht="25.9" hidden="1" customHeight="1">
      <c r="A79" s="1208" t="s">
        <v>4009</v>
      </c>
      <c r="B79" s="1215" t="s">
        <v>4027</v>
      </c>
      <c r="C79" s="1144" t="s">
        <v>3559</v>
      </c>
      <c r="D79" s="1215"/>
      <c r="H79" s="1144" t="s">
        <v>4028</v>
      </c>
      <c r="K79" s="1201"/>
      <c r="Q79" s="1213"/>
      <c r="T79" s="1144"/>
    </row>
    <row r="80" spans="1:20" ht="25.9" hidden="1" customHeight="1">
      <c r="A80" s="1208" t="s">
        <v>4009</v>
      </c>
      <c r="H80" s="1144" t="s">
        <v>4029</v>
      </c>
      <c r="K80" s="1201"/>
      <c r="Q80" s="1213"/>
      <c r="T80" s="1144"/>
    </row>
    <row r="81" spans="1:20" ht="25.9" hidden="1" customHeight="1">
      <c r="A81" s="1208" t="s">
        <v>4009</v>
      </c>
      <c r="B81" s="1144" t="s">
        <v>50</v>
      </c>
      <c r="C81" s="1144" t="str">
        <f>IF(Language="EN","Please enter price","Bitte Preis eintragen")</f>
        <v>Bitte Preis eintragen</v>
      </c>
      <c r="H81" s="1144" t="s">
        <v>4030</v>
      </c>
      <c r="K81" s="1201"/>
      <c r="Q81" s="1213"/>
      <c r="T81" s="1144"/>
    </row>
    <row r="82" spans="1:20" ht="25.9" hidden="1" customHeight="1">
      <c r="A82" s="1208" t="s">
        <v>4009</v>
      </c>
      <c r="H82" s="1144" t="s">
        <v>4031</v>
      </c>
      <c r="K82" s="1201"/>
      <c r="Q82" s="1213"/>
      <c r="T82" s="1144"/>
    </row>
    <row r="83" spans="1:20" ht="25.9" hidden="1" customHeight="1">
      <c r="A83" s="1208" t="s">
        <v>4009</v>
      </c>
      <c r="H83" s="1144" t="s">
        <v>4032</v>
      </c>
      <c r="K83" s="1201"/>
      <c r="Q83" s="1213"/>
      <c r="T83" s="1144"/>
    </row>
    <row r="84" spans="1:20" ht="25.9" hidden="1" customHeight="1">
      <c r="A84" s="1216" t="s">
        <v>4009</v>
      </c>
      <c r="B84" s="1209"/>
      <c r="C84" s="1209"/>
      <c r="D84" s="1209"/>
      <c r="E84" s="1209"/>
      <c r="F84" s="1209"/>
      <c r="G84" s="1209"/>
      <c r="H84" s="1209"/>
      <c r="I84" s="1209"/>
      <c r="J84" s="1209"/>
      <c r="K84" s="1204"/>
      <c r="Q84" s="1213"/>
      <c r="T84" s="1144"/>
    </row>
    <row r="85" spans="1:20" ht="25.9" customHeight="1"/>
    <row r="86" spans="1:20" ht="25.9" customHeight="1"/>
    <row r="87" spans="1:20" ht="25.9" customHeight="1"/>
    <row r="88" spans="1:20" ht="25.9" customHeight="1"/>
  </sheetData>
  <mergeCells count="4">
    <mergeCell ref="U2:U3"/>
    <mergeCell ref="H36:I36"/>
    <mergeCell ref="K36:L36"/>
    <mergeCell ref="B69:C69"/>
  </mergeCells>
  <conditionalFormatting sqref="R9:R10">
    <cfRule type="cellIs" dxfId="1008" priority="12" operator="greaterThan">
      <formula>5</formula>
    </cfRule>
  </conditionalFormatting>
  <conditionalFormatting sqref="J3:L3">
    <cfRule type="cellIs" dxfId="1007" priority="11" operator="equal">
      <formula>""</formula>
    </cfRule>
  </conditionalFormatting>
  <conditionalFormatting sqref="O7:O27 O29:O33">
    <cfRule type="cellIs" dxfId="1006" priority="10" operator="equal">
      <formula>"[Link]"</formula>
    </cfRule>
  </conditionalFormatting>
  <conditionalFormatting sqref="H3">
    <cfRule type="cellIs" dxfId="1005" priority="9" operator="equal">
      <formula>""</formula>
    </cfRule>
  </conditionalFormatting>
  <conditionalFormatting sqref="M7:M33">
    <cfRule type="expression" dxfId="1004" priority="8">
      <formula>AND(NOT(ISBLANK(C7)),ISBLANK(M7))</formula>
    </cfRule>
  </conditionalFormatting>
  <conditionalFormatting sqref="R6">
    <cfRule type="cellIs" dxfId="1003" priority="7" operator="greaterThan">
      <formula>5</formula>
    </cfRule>
  </conditionalFormatting>
  <conditionalFormatting sqref="O6">
    <cfRule type="cellIs" dxfId="1002" priority="6" operator="equal">
      <formula>"[Link]"</formula>
    </cfRule>
  </conditionalFormatting>
  <conditionalFormatting sqref="M6">
    <cfRule type="expression" dxfId="1001" priority="5">
      <formula>AND(NOT(ISBLANK(C6)),ISBLANK(M6))</formula>
    </cfRule>
  </conditionalFormatting>
  <conditionalFormatting sqref="W3">
    <cfRule type="cellIs" dxfId="1000" priority="4" operator="equal">
      <formula>""</formula>
    </cfRule>
  </conditionalFormatting>
  <conditionalFormatting sqref="T3">
    <cfRule type="cellIs" dxfId="999" priority="3" operator="equal">
      <formula>""</formula>
    </cfRule>
  </conditionalFormatting>
  <conditionalFormatting sqref="O28">
    <cfRule type="cellIs" dxfId="998" priority="1" operator="equal">
      <formula>"[Link]"</formula>
    </cfRule>
  </conditionalFormatting>
  <dataValidations xWindow="1210" yWindow="843" count="9">
    <dataValidation type="list" allowBlank="1" showInputMessage="1" showErrorMessage="1" sqref="B28:B33 C21 B9:B26" xr:uid="{20B3F901-B2B8-4112-A4D6-1193890F6FFA}">
      <formula1>$B$71:$B$79</formula1>
    </dataValidation>
    <dataValidation allowBlank="1" prompt="andere Eingaben möglich - im Dropdown sind die häufigsten aufgelistet" sqref="C6:C7" xr:uid="{A6194FFF-9DCA-4AB1-8D23-82D9ECBE9B3F}"/>
    <dataValidation type="list" allowBlank="1" showInputMessage="1" showErrorMessage="1" sqref="H4" xr:uid="{53C9E39C-FDB8-4CEE-8E26-3025246BBC15}">
      <formula1>"2-layers,4-layers,6-layers,8-layers,10-layers,12-layers"</formula1>
    </dataValidation>
    <dataValidation type="list" allowBlank="1" showInputMessage="1" showErrorMessage="1" sqref="G4 L3" xr:uid="{CF3FED98-1799-4047-9306-0784D48D4D30}">
      <formula1>"Standard,HDI, HiFr,IMS (Aluminum)"</formula1>
    </dataValidation>
    <dataValidation type="list" allowBlank="1" showInputMessage="1" prompt="andere Eingaben möglich - im Dropdown sind die häufigsten aufgelistet" sqref="N6:N18 N20:N33" xr:uid="{388AC161-5B4C-4BBD-8513-FDA29D3FD8A5}">
      <formula1>IF(OR(C6=$F$70,C6=$G$70,C6=$H$70,C6=$I$70,C6=$J$70),INDIRECT("tbl_Code_housing["&amp;C6&amp;"]"),NA())</formula1>
    </dataValidation>
    <dataValidation type="list" allowBlank="1" showInputMessage="1" prompt="andere Eingaben möglich - im Dropdown sind die häufigsten aufgelistet" sqref="C8:C20 C22:C33" xr:uid="{ED8D6D5F-C047-4E80-9B6B-5969E69CFB49}">
      <formula1>$C$71:$C$79</formula1>
    </dataValidation>
    <dataValidation type="list" errorStyle="warning" allowBlank="1" showInputMessage="1" showErrorMessage="1" sqref="H6:H33" xr:uid="{BD0091F2-5AB2-4271-97A9-56136EF53897}">
      <formula1>$D$71:$D$74</formula1>
    </dataValidation>
    <dataValidation type="list" allowBlank="1" sqref="O6:O27 O29:O33" xr:uid="{43799793-A1B5-49FB-9CE8-58A46F8F8853}">
      <formula1>"[Link],Standard,Shortlist"</formula1>
    </dataValidation>
    <dataValidation type="list" allowBlank="1" showInputMessage="1" prompt="andere Eingaben möglich - im Dropdown sind die häufigsten aufgelistet" sqref="N19" xr:uid="{843A3316-676D-4401-9DE1-FDE960B75F46}">
      <formula1>IF(OR(C19=$F$74,C19=$G$74,C19=$H$74,C19=$I$74,C19=$J$74),INDIRECT("tbl_Code_housing["&amp;C19&amp;"]"),NA())</formula1>
    </dataValidation>
  </dataValidations>
  <hyperlinks>
    <hyperlink ref="O24" r:id="rId1" xr:uid="{A012FC64-FC71-406F-8734-CCCFE9E63AC2}"/>
    <hyperlink ref="O25" r:id="rId2" xr:uid="{7D21C9A5-4C16-4C37-8178-B7E6768A0983}"/>
    <hyperlink ref="O28" r:id="rId3" display="https://606feea4e82751db.en.made-in-china.com/product/myFTulXVrZro/China-Touch-Spring-PCB-Button-Spring-for-Catering-Equipment.html" xr:uid="{6714A596-088E-4F01-9DF6-6FEBA425D005}"/>
  </hyperlink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4"/>
  <headerFooter alignWithMargins="0">
    <oddFooter>Seite &amp;P von &amp;N</oddFooter>
  </headerFooter>
  <drawing r:id="rId5"/>
  <legacyDrawing r:id="rId6"/>
  <tableParts count="3">
    <tablePart r:id="rId7"/>
    <tablePart r:id="rId8"/>
    <tablePart r:id="rId9"/>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9F2E8-E185-4BEB-91FD-71EBE1D3CAEB}">
  <sheetPr codeName="Tabelle2">
    <outlinePr summaryBelow="0" summaryRight="0"/>
    <pageSetUpPr fitToPage="1"/>
  </sheetPr>
  <dimension ref="A1:AB100"/>
  <sheetViews>
    <sheetView showGridLines="0" showZeros="0" zoomScaleNormal="100" workbookViewId="0">
      <pane xSplit="6" ySplit="5" topLeftCell="G20" activePane="bottomRight" state="frozen"/>
      <selection pane="topRight" activeCell="G1" sqref="G1"/>
      <selection pane="bottomLeft" activeCell="A6" sqref="A6"/>
      <selection pane="bottomRight" activeCell="Y31" sqref="Y31"/>
    </sheetView>
  </sheetViews>
  <sheetFormatPr baseColWidth="10" defaultColWidth="12.28515625" defaultRowHeight="11.25"/>
  <cols>
    <col min="1" max="1" width="6.28515625" style="1144" customWidth="1"/>
    <col min="2" max="2" width="17.28515625" style="1144" customWidth="1"/>
    <col min="3" max="3" width="22.7109375" style="1144" bestFit="1" customWidth="1"/>
    <col min="4" max="4" width="25.42578125" style="1144" customWidth="1"/>
    <col min="5" max="7" width="11.7109375" style="1144" customWidth="1"/>
    <col min="8" max="12" width="22.85546875" style="1144" customWidth="1"/>
    <col min="13" max="13" width="26.7109375" style="1144" customWidth="1"/>
    <col min="14" max="14" width="27.42578125" style="1144" customWidth="1"/>
    <col min="15" max="15" width="28.28515625" style="1144" customWidth="1"/>
    <col min="16" max="16" width="21.28515625" style="1144" customWidth="1"/>
    <col min="17" max="17" width="21.28515625" style="1144" hidden="1" customWidth="1"/>
    <col min="18" max="18" width="20" style="1145" customWidth="1"/>
    <col min="19" max="19" width="11.7109375" style="1146" customWidth="1"/>
    <col min="20" max="20" width="8.7109375" style="1146" hidden="1" customWidth="1"/>
    <col min="21" max="25" width="16.28515625" style="1144" customWidth="1"/>
    <col min="26" max="26" width="28.5703125" style="1144" customWidth="1"/>
    <col min="27" max="16384" width="12.28515625" style="1144"/>
  </cols>
  <sheetData>
    <row r="1" spans="1:28" ht="10.9" customHeight="1"/>
    <row r="2" spans="1:28" ht="10.9" customHeight="1">
      <c r="C2" s="1147" t="s">
        <v>3527</v>
      </c>
      <c r="H2" s="1147" t="s">
        <v>3526</v>
      </c>
      <c r="J2" s="1147" t="s">
        <v>3315</v>
      </c>
      <c r="K2" s="1147" t="s">
        <v>3316</v>
      </c>
      <c r="L2" s="1147" t="s">
        <v>3528</v>
      </c>
      <c r="M2" s="1147" t="s">
        <v>3529</v>
      </c>
      <c r="N2" s="1147" t="s">
        <v>3530</v>
      </c>
      <c r="O2" s="1148" t="s">
        <v>3531</v>
      </c>
      <c r="T2" s="1149" t="s">
        <v>3549</v>
      </c>
      <c r="U2" s="1321" t="str" cm="1">
        <f t="array" aca="1" ref="U2" ca="1">IFERROR(IF(GetUserDomain()="AWS",HYPERLINK("M:\02 WD\02 Technologien\23 Elektronik - Elektrik\98 Taskforce EE\02 Materialkosten (Degression, C-Teile)\Degression","Info"),""),"")</f>
        <v/>
      </c>
      <c r="W2" s="1147" t="s">
        <v>3580</v>
      </c>
    </row>
    <row r="3" spans="1:28" ht="10.9" customHeight="1">
      <c r="C3" s="1150">
        <f>Y46</f>
        <v>9.7486676096252687</v>
      </c>
      <c r="H3" s="1151">
        <v>800000</v>
      </c>
      <c r="J3" s="1152">
        <v>72.2</v>
      </c>
      <c r="K3" s="1152">
        <v>35.1</v>
      </c>
      <c r="L3" s="1152" t="s">
        <v>4006</v>
      </c>
      <c r="M3" s="1152">
        <v>0.746</v>
      </c>
      <c r="N3" s="1153">
        <f>IFERROR(SUMPRODUCT(EBOM44[Quantity 
Total],EBOM44[No of Pins/Pads])/((J3*K3)/100),0)</f>
        <v>13.179597667132292</v>
      </c>
      <c r="O3" s="1153">
        <f>(1*1*0.2*8.4/1000)*SUMPRODUCT(EBOM44[No of Pins/Pads],EBOM44[Quantity 
Total])</f>
        <v>0.56112000000000006</v>
      </c>
      <c r="T3" s="1154">
        <v>0.8</v>
      </c>
      <c r="U3" s="1321"/>
      <c r="W3" s="1155">
        <v>0.7</v>
      </c>
    </row>
    <row r="4" spans="1:28" ht="10.9" customHeight="1">
      <c r="E4" s="1156"/>
      <c r="F4" s="1156"/>
      <c r="G4" s="1156"/>
      <c r="H4" s="1156"/>
      <c r="I4" s="1156"/>
      <c r="J4" s="1156"/>
      <c r="K4" s="1156"/>
    </row>
    <row r="5" spans="1:28" s="1161" customFormat="1" ht="25.9" customHeight="1">
      <c r="A5" s="1157" t="s">
        <v>76</v>
      </c>
      <c r="B5" s="1158" t="s">
        <v>3508</v>
      </c>
      <c r="C5" s="1158" t="s">
        <v>3509</v>
      </c>
      <c r="D5" s="1158" t="s">
        <v>3510</v>
      </c>
      <c r="E5" s="1158" t="s">
        <v>3511</v>
      </c>
      <c r="F5" s="1158" t="s">
        <v>3575</v>
      </c>
      <c r="G5" s="1158" t="s">
        <v>3512</v>
      </c>
      <c r="H5" s="1158" t="s">
        <v>3467</v>
      </c>
      <c r="I5" s="1158" t="s">
        <v>69</v>
      </c>
      <c r="J5" s="1158" t="s">
        <v>3513</v>
      </c>
      <c r="K5" s="1158" t="s">
        <v>3514</v>
      </c>
      <c r="L5" s="1158" t="s">
        <v>3515</v>
      </c>
      <c r="M5" s="1158" t="s">
        <v>3516</v>
      </c>
      <c r="N5" s="1158" t="s">
        <v>3517</v>
      </c>
      <c r="O5" s="1158" t="s">
        <v>915</v>
      </c>
      <c r="P5" s="1158" t="s">
        <v>3518</v>
      </c>
      <c r="Q5" s="1158" t="s">
        <v>3551</v>
      </c>
      <c r="R5" s="1159" t="s">
        <v>3519</v>
      </c>
      <c r="S5" s="1158" t="s">
        <v>3550</v>
      </c>
      <c r="T5" s="1158" t="s">
        <v>3549</v>
      </c>
      <c r="U5" s="1158" t="s">
        <v>3360</v>
      </c>
      <c r="V5" s="1158" t="s">
        <v>3520</v>
      </c>
      <c r="W5" s="1158" t="s">
        <v>3521</v>
      </c>
      <c r="X5" s="1158" t="s">
        <v>3522</v>
      </c>
      <c r="Y5" s="1158" t="s">
        <v>3527</v>
      </c>
      <c r="Z5" s="1160" t="s">
        <v>3523</v>
      </c>
    </row>
    <row r="6" spans="1:28" ht="25.9" customHeight="1">
      <c r="A6" s="1162"/>
      <c r="B6" s="1163" t="s">
        <v>4007</v>
      </c>
      <c r="C6" s="1163"/>
      <c r="D6" s="1163"/>
      <c r="E6" s="1152"/>
      <c r="F6" s="1152"/>
      <c r="G6" s="1153"/>
      <c r="H6" s="1152"/>
      <c r="I6" s="1163"/>
      <c r="J6" s="1164"/>
      <c r="K6" s="1163"/>
      <c r="L6" s="1163"/>
      <c r="M6" s="1163"/>
      <c r="N6" s="1163"/>
      <c r="O6" s="1165"/>
      <c r="P6" s="1166"/>
      <c r="Q6" s="1166"/>
      <c r="R6" s="1167"/>
      <c r="S6" s="1168"/>
      <c r="T6" s="1169">
        <v>1</v>
      </c>
      <c r="U6" s="1170">
        <v>1</v>
      </c>
      <c r="V6" s="1170">
        <f t="shared" ref="V6:V45" si="0">R6*U6*T6</f>
        <v>0</v>
      </c>
      <c r="W6" s="1171"/>
      <c r="X6" s="1171"/>
      <c r="Y6" s="1172">
        <f>IF(OR(ISBLANK(M3),ISBLANK(K3),ISBLANK(J3)),"Bitte alle Felder ausfüllen",((J3*K3)/10000)*M3/W3)</f>
        <v>0.27007544571428577</v>
      </c>
      <c r="Z6" s="1173"/>
      <c r="AA6" s="1161"/>
      <c r="AB6" s="1161"/>
    </row>
    <row r="7" spans="1:28" ht="25.9" customHeight="1">
      <c r="A7" s="1162"/>
      <c r="B7" s="1163" t="s">
        <v>3548</v>
      </c>
      <c r="C7" s="1163"/>
      <c r="D7" s="1163"/>
      <c r="E7" s="1152"/>
      <c r="F7" s="1152"/>
      <c r="G7" s="1153">
        <f>E7+F7</f>
        <v>0</v>
      </c>
      <c r="H7" s="1152"/>
      <c r="I7" s="1163"/>
      <c r="J7" s="1164"/>
      <c r="K7" s="1163"/>
      <c r="L7" s="1163"/>
      <c r="M7" s="1163"/>
      <c r="N7" s="1163"/>
      <c r="O7" s="1165"/>
      <c r="P7" s="1166"/>
      <c r="Q7" s="1166"/>
      <c r="R7" s="1167"/>
      <c r="S7" s="1168"/>
      <c r="T7" s="1169">
        <v>1</v>
      </c>
      <c r="U7" s="1170">
        <v>1</v>
      </c>
      <c r="V7" s="1170">
        <f t="shared" si="0"/>
        <v>0</v>
      </c>
      <c r="W7" s="1171">
        <f>E7*V7</f>
        <v>0</v>
      </c>
      <c r="X7" s="1171">
        <f>F7*V7</f>
        <v>0</v>
      </c>
      <c r="Y7" s="1171">
        <f>O3/1000*20</f>
        <v>1.12224E-2</v>
      </c>
      <c r="Z7" s="1173"/>
      <c r="AA7" s="1161"/>
      <c r="AB7" s="1161"/>
    </row>
    <row r="8" spans="1:28" ht="25.9" customHeight="1">
      <c r="A8" s="1174"/>
      <c r="B8" s="1175" t="s">
        <v>3524</v>
      </c>
      <c r="C8" s="1163"/>
      <c r="D8" s="1164"/>
      <c r="E8" s="1152"/>
      <c r="F8" s="1152"/>
      <c r="G8" s="1153">
        <f t="shared" ref="G8:G9" si="1">E8+F8</f>
        <v>0</v>
      </c>
      <c r="H8" s="1152"/>
      <c r="I8" s="1164"/>
      <c r="J8" s="1163"/>
      <c r="K8" s="1163"/>
      <c r="L8" s="1163"/>
      <c r="M8" s="1163"/>
      <c r="N8" s="1163"/>
      <c r="O8" s="1165"/>
      <c r="P8" s="1166"/>
      <c r="Q8" s="1166"/>
      <c r="R8" s="1167"/>
      <c r="S8" s="1168"/>
      <c r="T8" s="1169"/>
      <c r="U8" s="1170" cm="1">
        <f t="array" ref="U8">EBOM_Factor</f>
        <v>0</v>
      </c>
      <c r="V8" s="1170">
        <f t="shared" si="0"/>
        <v>0</v>
      </c>
      <c r="W8" s="1171"/>
      <c r="X8" s="1171"/>
      <c r="Y8" s="1171">
        <f t="shared" ref="Y8:Y9" si="2">X8+W8</f>
        <v>0</v>
      </c>
      <c r="Z8" s="1173"/>
      <c r="AA8" s="1161"/>
      <c r="AB8" s="1161"/>
    </row>
    <row r="9" spans="1:28" ht="25.9" customHeight="1">
      <c r="A9" s="1162">
        <f t="shared" ref="A9" si="3">ROW()-8</f>
        <v>1</v>
      </c>
      <c r="B9" s="1163" t="s">
        <v>3533</v>
      </c>
      <c r="C9" s="1163" t="s">
        <v>3555</v>
      </c>
      <c r="D9" s="1163">
        <v>0</v>
      </c>
      <c r="E9" s="1152">
        <v>30</v>
      </c>
      <c r="F9" s="1152"/>
      <c r="G9" s="1153">
        <f t="shared" si="1"/>
        <v>30</v>
      </c>
      <c r="H9" s="1152" t="s">
        <v>3486</v>
      </c>
      <c r="I9" s="1163">
        <v>0</v>
      </c>
      <c r="J9" s="1164">
        <v>0</v>
      </c>
      <c r="K9" s="1163">
        <v>0</v>
      </c>
      <c r="L9" s="1163">
        <v>0</v>
      </c>
      <c r="M9" s="1163">
        <v>0</v>
      </c>
      <c r="N9" s="1220" t="s">
        <v>4012</v>
      </c>
      <c r="O9" s="1165" t="s">
        <v>4006</v>
      </c>
      <c r="P9" s="1166">
        <v>0</v>
      </c>
      <c r="Q9" s="1166"/>
      <c r="R9" s="1167">
        <v>8.9999999999999998E-4</v>
      </c>
      <c r="S9" s="1168"/>
      <c r="T9" s="1169">
        <v>1</v>
      </c>
      <c r="U9" s="1170" cm="1">
        <f t="array" ref="U9">EBOM_Factor</f>
        <v>1</v>
      </c>
      <c r="V9" s="1170">
        <f t="shared" si="0"/>
        <v>8.9999999999999998E-4</v>
      </c>
      <c r="W9" s="1171">
        <f t="shared" ref="W9" si="4">E9*V9</f>
        <v>2.7E-2</v>
      </c>
      <c r="X9" s="1171">
        <f t="shared" ref="X9" si="5">F9*V9</f>
        <v>0</v>
      </c>
      <c r="Y9" s="1171">
        <f t="shared" si="2"/>
        <v>2.7E-2</v>
      </c>
      <c r="Z9" s="1173"/>
    </row>
    <row r="10" spans="1:28" ht="25.9" customHeight="1">
      <c r="A10" s="1162">
        <f>ROW()-8</f>
        <v>2</v>
      </c>
      <c r="B10" s="1163" t="s">
        <v>3533</v>
      </c>
      <c r="C10" s="1163" t="s">
        <v>3555</v>
      </c>
      <c r="D10" s="1163">
        <v>0</v>
      </c>
      <c r="E10" s="1152">
        <v>4</v>
      </c>
      <c r="F10" s="1152"/>
      <c r="G10" s="1153">
        <f>E10+F10</f>
        <v>4</v>
      </c>
      <c r="H10" s="1152" t="s">
        <v>3486</v>
      </c>
      <c r="I10" s="1163">
        <v>0</v>
      </c>
      <c r="J10" s="1164">
        <v>0</v>
      </c>
      <c r="K10" s="1163">
        <v>0</v>
      </c>
      <c r="L10" s="1163">
        <v>0</v>
      </c>
      <c r="M10" s="1163">
        <v>0</v>
      </c>
      <c r="N10" s="1220" t="s">
        <v>4014</v>
      </c>
      <c r="O10" s="1165" t="s">
        <v>4006</v>
      </c>
      <c r="P10" s="1166">
        <v>0</v>
      </c>
      <c r="Q10" s="1166"/>
      <c r="R10" s="1167">
        <v>5.4999999999999997E-3</v>
      </c>
      <c r="S10" s="1168"/>
      <c r="T10" s="1169">
        <v>1</v>
      </c>
      <c r="U10" s="1170" cm="1">
        <f t="array" ref="U10">EBOM_Factor</f>
        <v>1</v>
      </c>
      <c r="V10" s="1170">
        <f t="shared" si="0"/>
        <v>5.4999999999999997E-3</v>
      </c>
      <c r="W10" s="1171">
        <f>E10*V10</f>
        <v>2.1999999999999999E-2</v>
      </c>
      <c r="X10" s="1171">
        <f>F10*V10</f>
        <v>0</v>
      </c>
      <c r="Y10" s="1171">
        <f>X10+W10</f>
        <v>2.1999999999999999E-2</v>
      </c>
      <c r="Z10" s="1173"/>
    </row>
    <row r="11" spans="1:28" ht="25.9" customHeight="1">
      <c r="A11" s="1162">
        <f t="shared" ref="A11" si="6">ROW()-8</f>
        <v>3</v>
      </c>
      <c r="B11" s="1163" t="s">
        <v>3533</v>
      </c>
      <c r="C11" s="1163" t="s">
        <v>3555</v>
      </c>
      <c r="D11" s="1163">
        <v>0</v>
      </c>
      <c r="E11" s="1152">
        <v>3</v>
      </c>
      <c r="F11" s="1152"/>
      <c r="G11" s="1153">
        <f t="shared" ref="G11" si="7">E11+F11</f>
        <v>3</v>
      </c>
      <c r="H11" s="1152" t="s">
        <v>3486</v>
      </c>
      <c r="I11" s="1163">
        <v>0</v>
      </c>
      <c r="J11" s="1164">
        <v>0</v>
      </c>
      <c r="K11" s="1163">
        <v>0</v>
      </c>
      <c r="L11" s="1163">
        <v>0</v>
      </c>
      <c r="M11" s="1163">
        <v>0</v>
      </c>
      <c r="N11" s="1220" t="s">
        <v>4016</v>
      </c>
      <c r="O11" s="1165" t="s">
        <v>4006</v>
      </c>
      <c r="P11" s="1166">
        <v>0</v>
      </c>
      <c r="Q11" s="1166"/>
      <c r="R11" s="1167">
        <v>5.1000000000000004E-3</v>
      </c>
      <c r="S11" s="1168"/>
      <c r="T11" s="1169">
        <v>1</v>
      </c>
      <c r="U11" s="1170" cm="1">
        <f t="array" ref="U11">EBOM_Factor</f>
        <v>1</v>
      </c>
      <c r="V11" s="1170">
        <f t="shared" si="0"/>
        <v>5.1000000000000004E-3</v>
      </c>
      <c r="W11" s="1171">
        <f t="shared" ref="W11" si="8">E11*V11</f>
        <v>1.5300000000000001E-2</v>
      </c>
      <c r="X11" s="1171">
        <f t="shared" ref="X11" si="9">F11*V11</f>
        <v>0</v>
      </c>
      <c r="Y11" s="1171">
        <f t="shared" ref="Y11" si="10">X11+W11</f>
        <v>1.5300000000000001E-2</v>
      </c>
      <c r="Z11" s="1173"/>
    </row>
    <row r="12" spans="1:28" ht="25.9" customHeight="1">
      <c r="A12" s="1162">
        <f>ROW()-8</f>
        <v>4</v>
      </c>
      <c r="B12" s="1163" t="s">
        <v>3533</v>
      </c>
      <c r="C12" s="1163" t="s">
        <v>4072</v>
      </c>
      <c r="D12" s="1163"/>
      <c r="E12" s="1152">
        <v>1</v>
      </c>
      <c r="F12" s="1152"/>
      <c r="G12" s="1153">
        <f>E12+F12</f>
        <v>1</v>
      </c>
      <c r="H12" s="1152" t="s">
        <v>3486</v>
      </c>
      <c r="I12" s="1163"/>
      <c r="J12" s="1164"/>
      <c r="K12" s="1163"/>
      <c r="L12" s="1163"/>
      <c r="M12" s="1163">
        <v>8</v>
      </c>
      <c r="N12" s="1163" t="s">
        <v>4073</v>
      </c>
      <c r="O12" s="1165" t="s">
        <v>4074</v>
      </c>
      <c r="P12" s="1166">
        <v>1000</v>
      </c>
      <c r="Q12" s="1166"/>
      <c r="R12" s="1167">
        <v>5.0819999999999997E-2</v>
      </c>
      <c r="S12" s="1168"/>
      <c r="T12" s="1169">
        <f t="shared" ref="T12:T45" si="11">Project_Factor</f>
        <v>0.8</v>
      </c>
      <c r="U12" s="1170" cm="1">
        <f t="array" ref="U12">EBOM_Factor</f>
        <v>0.31042683161762363</v>
      </c>
      <c r="V12" s="1170">
        <f t="shared" si="0"/>
        <v>1.2620713266246107E-2</v>
      </c>
      <c r="W12" s="1171">
        <f>E12*V12</f>
        <v>1.2620713266246107E-2</v>
      </c>
      <c r="X12" s="1171">
        <f>F12*V12</f>
        <v>0</v>
      </c>
      <c r="Y12" s="1171">
        <f>X12+W12</f>
        <v>1.2620713266246107E-2</v>
      </c>
      <c r="Z12" s="1173"/>
    </row>
    <row r="13" spans="1:28" ht="25.9" customHeight="1">
      <c r="A13" s="1162">
        <f t="shared" ref="A13:A17" si="12">ROW()-8</f>
        <v>5</v>
      </c>
      <c r="B13" s="1163" t="s">
        <v>3533</v>
      </c>
      <c r="C13" s="1163" t="s">
        <v>3553</v>
      </c>
      <c r="D13" s="1163">
        <v>0</v>
      </c>
      <c r="E13" s="1152">
        <v>30</v>
      </c>
      <c r="F13" s="1152"/>
      <c r="G13" s="1153">
        <f t="shared" ref="G13:G17" si="13">E13+F13</f>
        <v>30</v>
      </c>
      <c r="H13" s="1152" t="s">
        <v>3486</v>
      </c>
      <c r="I13" s="1163">
        <v>0</v>
      </c>
      <c r="J13" s="1164">
        <v>0</v>
      </c>
      <c r="K13" s="1163">
        <v>0</v>
      </c>
      <c r="L13" s="1163">
        <v>0</v>
      </c>
      <c r="M13" s="1163">
        <v>0</v>
      </c>
      <c r="N13" s="1220" t="s">
        <v>4012</v>
      </c>
      <c r="O13" s="1165" t="s">
        <v>4006</v>
      </c>
      <c r="P13" s="1166">
        <v>0</v>
      </c>
      <c r="Q13" s="1166"/>
      <c r="R13" s="1167">
        <v>1.8E-3</v>
      </c>
      <c r="S13" s="1168"/>
      <c r="T13" s="1169">
        <v>1</v>
      </c>
      <c r="U13" s="1170" cm="1">
        <f t="array" ref="U13">EBOM_Factor</f>
        <v>1</v>
      </c>
      <c r="V13" s="1170">
        <f t="shared" ref="V13:V17" si="14">R13*U13*T13</f>
        <v>1.8E-3</v>
      </c>
      <c r="W13" s="1171">
        <f t="shared" ref="W13:W17" si="15">E13*V13</f>
        <v>5.3999999999999999E-2</v>
      </c>
      <c r="X13" s="1171">
        <f t="shared" ref="X13:X17" si="16">F13*V13</f>
        <v>0</v>
      </c>
      <c r="Y13" s="1171">
        <f t="shared" ref="Y13:Y17" si="17">X13+W13</f>
        <v>5.3999999999999999E-2</v>
      </c>
      <c r="Z13" s="1173"/>
    </row>
    <row r="14" spans="1:28" ht="25.9" customHeight="1">
      <c r="A14" s="1162">
        <f t="shared" si="12"/>
        <v>6</v>
      </c>
      <c r="B14" s="1163" t="s">
        <v>3533</v>
      </c>
      <c r="C14" s="1163" t="s">
        <v>3553</v>
      </c>
      <c r="D14" s="1163">
        <v>0</v>
      </c>
      <c r="E14" s="1152">
        <v>4</v>
      </c>
      <c r="F14" s="1152"/>
      <c r="G14" s="1153">
        <f t="shared" si="13"/>
        <v>4</v>
      </c>
      <c r="H14" s="1152" t="s">
        <v>3486</v>
      </c>
      <c r="I14" s="1163">
        <v>0</v>
      </c>
      <c r="J14" s="1164">
        <v>0</v>
      </c>
      <c r="K14" s="1163">
        <v>0</v>
      </c>
      <c r="L14" s="1163">
        <v>0</v>
      </c>
      <c r="M14" s="1163">
        <v>0</v>
      </c>
      <c r="N14" s="1220" t="s">
        <v>4014</v>
      </c>
      <c r="O14" s="1165" t="s">
        <v>4006</v>
      </c>
      <c r="P14" s="1166">
        <v>0</v>
      </c>
      <c r="Q14" s="1166"/>
      <c r="R14" s="1167">
        <v>2.5999999999999999E-3</v>
      </c>
      <c r="S14" s="1168"/>
      <c r="T14" s="1169">
        <v>1</v>
      </c>
      <c r="U14" s="1170" cm="1">
        <f t="array" ref="U14">EBOM_Factor</f>
        <v>1</v>
      </c>
      <c r="V14" s="1170">
        <f t="shared" si="14"/>
        <v>2.5999999999999999E-3</v>
      </c>
      <c r="W14" s="1171">
        <f t="shared" si="15"/>
        <v>1.04E-2</v>
      </c>
      <c r="X14" s="1171">
        <f t="shared" si="16"/>
        <v>0</v>
      </c>
      <c r="Y14" s="1171">
        <f t="shared" si="17"/>
        <v>1.04E-2</v>
      </c>
      <c r="Z14" s="1173"/>
    </row>
    <row r="15" spans="1:28" ht="25.9" customHeight="1">
      <c r="A15" s="1162">
        <f t="shared" si="12"/>
        <v>7</v>
      </c>
      <c r="B15" s="1163" t="s">
        <v>3533</v>
      </c>
      <c r="C15" s="1163" t="s">
        <v>3553</v>
      </c>
      <c r="D15" s="1163">
        <v>0</v>
      </c>
      <c r="E15" s="1152">
        <v>5</v>
      </c>
      <c r="F15" s="1152"/>
      <c r="G15" s="1153">
        <f t="shared" si="13"/>
        <v>5</v>
      </c>
      <c r="H15" s="1152" t="s">
        <v>3486</v>
      </c>
      <c r="I15" s="1163">
        <v>0</v>
      </c>
      <c r="J15" s="1164">
        <v>0</v>
      </c>
      <c r="K15" s="1163">
        <v>0</v>
      </c>
      <c r="L15" s="1163">
        <v>0</v>
      </c>
      <c r="M15" s="1163">
        <v>0</v>
      </c>
      <c r="N15" s="1220" t="s">
        <v>4016</v>
      </c>
      <c r="O15" s="1165" t="s">
        <v>4006</v>
      </c>
      <c r="P15" s="1166">
        <v>0</v>
      </c>
      <c r="Q15" s="1166"/>
      <c r="R15" s="1167">
        <v>5.7000000000000002E-3</v>
      </c>
      <c r="S15" s="1168"/>
      <c r="T15" s="1169">
        <v>1</v>
      </c>
      <c r="U15" s="1170" cm="1">
        <f t="array" ref="U15">EBOM_Factor</f>
        <v>1</v>
      </c>
      <c r="V15" s="1170">
        <f t="shared" si="14"/>
        <v>5.7000000000000002E-3</v>
      </c>
      <c r="W15" s="1171">
        <f t="shared" si="15"/>
        <v>2.8500000000000001E-2</v>
      </c>
      <c r="X15" s="1171">
        <f t="shared" si="16"/>
        <v>0</v>
      </c>
      <c r="Y15" s="1171">
        <f t="shared" si="17"/>
        <v>2.8500000000000001E-2</v>
      </c>
      <c r="Z15" s="1173"/>
    </row>
    <row r="16" spans="1:28" ht="25.9" customHeight="1">
      <c r="A16" s="1162">
        <f t="shared" si="12"/>
        <v>8</v>
      </c>
      <c r="B16" s="1163" t="s">
        <v>3533</v>
      </c>
      <c r="C16" s="1163" t="s">
        <v>3553</v>
      </c>
      <c r="D16" s="1163">
        <v>0</v>
      </c>
      <c r="E16" s="1152">
        <v>3</v>
      </c>
      <c r="F16" s="1152"/>
      <c r="G16" s="1153">
        <f t="shared" si="13"/>
        <v>3</v>
      </c>
      <c r="H16" s="1152" t="s">
        <v>3486</v>
      </c>
      <c r="I16" s="1163">
        <v>0</v>
      </c>
      <c r="J16" s="1164">
        <v>0</v>
      </c>
      <c r="K16" s="1163">
        <v>0</v>
      </c>
      <c r="L16" s="1163">
        <v>0</v>
      </c>
      <c r="M16" s="1163">
        <v>0</v>
      </c>
      <c r="N16" s="1220" t="s">
        <v>4018</v>
      </c>
      <c r="O16" s="1165" t="s">
        <v>4006</v>
      </c>
      <c r="P16" s="1166">
        <v>0</v>
      </c>
      <c r="Q16" s="1166"/>
      <c r="R16" s="1167">
        <v>1.83E-2</v>
      </c>
      <c r="S16" s="1168"/>
      <c r="T16" s="1169">
        <v>1</v>
      </c>
      <c r="U16" s="1170" cm="1">
        <f t="array" ref="U16">EBOM_Factor</f>
        <v>1</v>
      </c>
      <c r="V16" s="1170">
        <f t="shared" si="14"/>
        <v>1.83E-2</v>
      </c>
      <c r="W16" s="1171">
        <f t="shared" si="15"/>
        <v>5.4900000000000004E-2</v>
      </c>
      <c r="X16" s="1171">
        <f t="shared" si="16"/>
        <v>0</v>
      </c>
      <c r="Y16" s="1171">
        <f t="shared" si="17"/>
        <v>5.4900000000000004E-2</v>
      </c>
      <c r="Z16" s="1173"/>
    </row>
    <row r="17" spans="1:26" ht="25.9" customHeight="1">
      <c r="A17" s="1162">
        <f t="shared" si="12"/>
        <v>9</v>
      </c>
      <c r="B17" s="1163" t="s">
        <v>3533</v>
      </c>
      <c r="C17" s="1163" t="s">
        <v>3490</v>
      </c>
      <c r="D17" s="1163">
        <v>0</v>
      </c>
      <c r="E17" s="1152">
        <v>7</v>
      </c>
      <c r="F17" s="1152"/>
      <c r="G17" s="1153">
        <f t="shared" si="13"/>
        <v>7</v>
      </c>
      <c r="H17" s="1152" t="s">
        <v>3486</v>
      </c>
      <c r="I17" s="1163">
        <v>0</v>
      </c>
      <c r="J17" s="1164">
        <v>0</v>
      </c>
      <c r="K17" s="1163">
        <v>0</v>
      </c>
      <c r="L17" s="1163">
        <v>0</v>
      </c>
      <c r="M17" s="1163">
        <v>0</v>
      </c>
      <c r="N17" s="1220" t="s">
        <v>4023</v>
      </c>
      <c r="O17" s="1165" t="s">
        <v>4006</v>
      </c>
      <c r="P17" s="1166">
        <v>0</v>
      </c>
      <c r="Q17" s="1166"/>
      <c r="R17" s="1167">
        <v>1.72E-2</v>
      </c>
      <c r="S17" s="1168"/>
      <c r="T17" s="1169">
        <v>1</v>
      </c>
      <c r="U17" s="1170" cm="1">
        <f t="array" ref="U17">EBOM_Factor</f>
        <v>1</v>
      </c>
      <c r="V17" s="1170">
        <f t="shared" si="14"/>
        <v>1.72E-2</v>
      </c>
      <c r="W17" s="1171">
        <f t="shared" si="15"/>
        <v>0.12040000000000001</v>
      </c>
      <c r="X17" s="1171">
        <f t="shared" si="16"/>
        <v>0</v>
      </c>
      <c r="Y17" s="1171">
        <f t="shared" si="17"/>
        <v>0.12040000000000001</v>
      </c>
      <c r="Z17" s="1173"/>
    </row>
    <row r="18" spans="1:26" ht="25.9" customHeight="1">
      <c r="A18" s="1162">
        <f t="shared" ref="A18:A29" si="18">ROW()-8</f>
        <v>10</v>
      </c>
      <c r="B18" s="1163" t="s">
        <v>3533</v>
      </c>
      <c r="C18" s="1163" t="s">
        <v>3490</v>
      </c>
      <c r="D18" s="1163">
        <v>0</v>
      </c>
      <c r="E18" s="1152">
        <v>1</v>
      </c>
      <c r="F18" s="1152"/>
      <c r="G18" s="1153">
        <f t="shared" ref="G18:G29" si="19">E18+F18</f>
        <v>1</v>
      </c>
      <c r="H18" s="1152" t="s">
        <v>3486</v>
      </c>
      <c r="I18" s="1163">
        <v>0</v>
      </c>
      <c r="J18" s="1164">
        <v>0</v>
      </c>
      <c r="K18" s="1163">
        <v>0</v>
      </c>
      <c r="L18" s="1163">
        <v>0</v>
      </c>
      <c r="M18" s="1163">
        <v>0</v>
      </c>
      <c r="N18" s="1220" t="s">
        <v>4031</v>
      </c>
      <c r="O18" s="1165" t="s">
        <v>4006</v>
      </c>
      <c r="P18" s="1166">
        <v>0</v>
      </c>
      <c r="Q18" s="1166"/>
      <c r="R18" s="1167">
        <v>3.9800000000000002E-2</v>
      </c>
      <c r="S18" s="1168"/>
      <c r="T18" s="1169">
        <v>1</v>
      </c>
      <c r="U18" s="1170" cm="1">
        <f t="array" ref="U18">EBOM_Factor</f>
        <v>1</v>
      </c>
      <c r="V18" s="1170">
        <f t="shared" ref="V18:V29" si="20">R18*U18*T18</f>
        <v>3.9800000000000002E-2</v>
      </c>
      <c r="W18" s="1171">
        <f t="shared" ref="W18:W29" si="21">E18*V18</f>
        <v>3.9800000000000002E-2</v>
      </c>
      <c r="X18" s="1171">
        <f t="shared" ref="X18:X29" si="22">F18*V18</f>
        <v>0</v>
      </c>
      <c r="Y18" s="1171">
        <f t="shared" ref="Y18:Y29" si="23">X18+W18</f>
        <v>3.9800000000000002E-2</v>
      </c>
      <c r="Z18" s="1173"/>
    </row>
    <row r="19" spans="1:26" ht="25.9" customHeight="1">
      <c r="A19" s="1162">
        <f t="shared" si="18"/>
        <v>11</v>
      </c>
      <c r="B19" s="1163" t="s">
        <v>3533</v>
      </c>
      <c r="C19" s="1163" t="s">
        <v>3490</v>
      </c>
      <c r="D19" s="1163">
        <v>0</v>
      </c>
      <c r="E19" s="1152">
        <v>1</v>
      </c>
      <c r="F19" s="1152"/>
      <c r="G19" s="1153">
        <f t="shared" si="19"/>
        <v>1</v>
      </c>
      <c r="H19" s="1152" t="s">
        <v>3486</v>
      </c>
      <c r="I19" s="1163">
        <v>0</v>
      </c>
      <c r="J19" s="1164">
        <v>0</v>
      </c>
      <c r="K19" s="1163">
        <v>0</v>
      </c>
      <c r="L19" s="1163">
        <v>0</v>
      </c>
      <c r="M19" s="1163">
        <v>0</v>
      </c>
      <c r="N19" s="1220" t="s">
        <v>4028</v>
      </c>
      <c r="O19" s="1165" t="s">
        <v>4006</v>
      </c>
      <c r="P19" s="1166">
        <v>0</v>
      </c>
      <c r="Q19" s="1166"/>
      <c r="R19" s="1167">
        <v>8.0000000000000002E-3</v>
      </c>
      <c r="S19" s="1168"/>
      <c r="T19" s="1169">
        <v>1</v>
      </c>
      <c r="U19" s="1170" cm="1">
        <f t="array" ref="U19">EBOM_Factor</f>
        <v>1</v>
      </c>
      <c r="V19" s="1170">
        <f t="shared" si="20"/>
        <v>8.0000000000000002E-3</v>
      </c>
      <c r="W19" s="1171">
        <f t="shared" si="21"/>
        <v>8.0000000000000002E-3</v>
      </c>
      <c r="X19" s="1171">
        <f t="shared" si="22"/>
        <v>0</v>
      </c>
      <c r="Y19" s="1171">
        <f t="shared" si="23"/>
        <v>8.0000000000000002E-3</v>
      </c>
      <c r="Z19" s="1173"/>
    </row>
    <row r="20" spans="1:26" ht="25.9" customHeight="1">
      <c r="A20" s="1162">
        <f t="shared" ref="A20:A28" si="24">ROW()-8</f>
        <v>12</v>
      </c>
      <c r="B20" s="1163" t="s">
        <v>3537</v>
      </c>
      <c r="C20" s="1163" t="s">
        <v>4076</v>
      </c>
      <c r="D20" s="1163"/>
      <c r="E20" s="1152">
        <v>2</v>
      </c>
      <c r="F20" s="1152"/>
      <c r="G20" s="1153">
        <v>2</v>
      </c>
      <c r="H20" s="1152" t="s">
        <v>3486</v>
      </c>
      <c r="I20" s="1163"/>
      <c r="J20" s="1164"/>
      <c r="K20" s="1163"/>
      <c r="L20" s="1163"/>
      <c r="M20" s="1163">
        <v>2</v>
      </c>
      <c r="N20" s="1220" t="s">
        <v>4075</v>
      </c>
      <c r="O20" s="1165" t="s">
        <v>4077</v>
      </c>
      <c r="P20" s="1166">
        <v>1000</v>
      </c>
      <c r="Q20" s="1166"/>
      <c r="R20" s="1167">
        <v>0.18523999999999999</v>
      </c>
      <c r="S20" s="1168"/>
      <c r="T20" s="1169">
        <f t="shared" si="11"/>
        <v>0.8</v>
      </c>
      <c r="U20" s="1170" cm="1">
        <f t="array" ref="U20">EBOM_Factor</f>
        <v>0.27496600450474862</v>
      </c>
      <c r="V20" s="1170">
        <f t="shared" ref="V20:V28" si="25">R20*U20*T20</f>
        <v>4.0747762139567711E-2</v>
      </c>
      <c r="W20" s="1171">
        <f t="shared" ref="W20:W28" si="26">E20*V20</f>
        <v>8.1495524279135423E-2</v>
      </c>
      <c r="X20" s="1171">
        <f t="shared" ref="X20:X28" si="27">F20*V20</f>
        <v>0</v>
      </c>
      <c r="Y20" s="1171">
        <f t="shared" ref="Y20:Y28" si="28">X20+W20</f>
        <v>8.1495524279135423E-2</v>
      </c>
      <c r="Z20" s="1173"/>
    </row>
    <row r="21" spans="1:26" ht="25.9" customHeight="1">
      <c r="A21" s="1162">
        <f t="shared" si="24"/>
        <v>13</v>
      </c>
      <c r="B21" s="1163" t="s">
        <v>3559</v>
      </c>
      <c r="C21" s="1163" t="s">
        <v>3559</v>
      </c>
      <c r="D21" s="1164" t="s">
        <v>4078</v>
      </c>
      <c r="E21" s="1152">
        <v>1</v>
      </c>
      <c r="F21" s="1152"/>
      <c r="G21" s="1153">
        <f t="shared" ref="G21:G28" si="29">E21+F21</f>
        <v>1</v>
      </c>
      <c r="H21" s="1152" t="s">
        <v>3486</v>
      </c>
      <c r="I21" s="1163"/>
      <c r="J21" s="1164"/>
      <c r="K21" s="1163"/>
      <c r="L21" s="1163"/>
      <c r="M21" s="1163">
        <v>4</v>
      </c>
      <c r="N21" s="1163" t="s">
        <v>4079</v>
      </c>
      <c r="O21" s="1165" t="s">
        <v>4080</v>
      </c>
      <c r="P21" s="1166">
        <v>1000</v>
      </c>
      <c r="Q21" s="1166"/>
      <c r="R21" s="1167">
        <v>2.02522</v>
      </c>
      <c r="S21" s="1168"/>
      <c r="T21" s="1169">
        <f t="shared" si="11"/>
        <v>0.8</v>
      </c>
      <c r="U21" s="1170" cm="1">
        <f t="array" ref="U21">EBOM_Factor</f>
        <v>0.31042683161762363</v>
      </c>
      <c r="V21" s="1170">
        <f t="shared" si="25"/>
        <v>0.50294610234291504</v>
      </c>
      <c r="W21" s="1171">
        <f t="shared" si="26"/>
        <v>0.50294610234291504</v>
      </c>
      <c r="X21" s="1171">
        <f t="shared" si="27"/>
        <v>0</v>
      </c>
      <c r="Y21" s="1171">
        <f t="shared" si="28"/>
        <v>0.50294610234291504</v>
      </c>
      <c r="Z21" s="1173"/>
    </row>
    <row r="22" spans="1:26" ht="25.9" customHeight="1">
      <c r="A22" s="1162">
        <f t="shared" si="24"/>
        <v>14</v>
      </c>
      <c r="B22" s="1163" t="s">
        <v>3533</v>
      </c>
      <c r="C22" s="1163" t="s">
        <v>3558</v>
      </c>
      <c r="D22" s="1163"/>
      <c r="E22" s="1152">
        <v>1</v>
      </c>
      <c r="F22" s="1152"/>
      <c r="G22" s="1153">
        <f t="shared" si="29"/>
        <v>1</v>
      </c>
      <c r="H22" s="1152" t="s">
        <v>3486</v>
      </c>
      <c r="I22" s="1163"/>
      <c r="J22" s="1164"/>
      <c r="K22" s="1163"/>
      <c r="L22" s="1163"/>
      <c r="M22" s="1163">
        <v>2</v>
      </c>
      <c r="N22" s="1163" t="s">
        <v>4081</v>
      </c>
      <c r="O22" s="1165" t="s">
        <v>4082</v>
      </c>
      <c r="P22" s="1166">
        <v>1000</v>
      </c>
      <c r="Q22" s="1166"/>
      <c r="R22" s="1167">
        <v>0.61890000000000001</v>
      </c>
      <c r="S22" s="1168"/>
      <c r="T22" s="1169">
        <f t="shared" si="11"/>
        <v>0.8</v>
      </c>
      <c r="U22" s="1170" cm="1">
        <f t="array" ref="U22">EBOM_Factor</f>
        <v>0.31042683161762363</v>
      </c>
      <c r="V22" s="1170">
        <f t="shared" si="25"/>
        <v>0.15369853287051782</v>
      </c>
      <c r="W22" s="1171">
        <f t="shared" si="26"/>
        <v>0.15369853287051782</v>
      </c>
      <c r="X22" s="1171">
        <f t="shared" si="27"/>
        <v>0</v>
      </c>
      <c r="Y22" s="1171">
        <f t="shared" si="28"/>
        <v>0.15369853287051782</v>
      </c>
      <c r="Z22" s="1173"/>
    </row>
    <row r="23" spans="1:26" ht="25.9" customHeight="1">
      <c r="A23" s="1162">
        <f t="shared" ref="A23:A27" si="30">ROW()-8</f>
        <v>15</v>
      </c>
      <c r="B23" s="1163" t="s">
        <v>667</v>
      </c>
      <c r="C23" s="1163" t="s">
        <v>4085</v>
      </c>
      <c r="D23" s="1164" t="s">
        <v>4083</v>
      </c>
      <c r="E23" s="1152">
        <v>2</v>
      </c>
      <c r="F23" s="1152"/>
      <c r="G23" s="1153">
        <f t="shared" ref="G23:G27" si="31">E23+F23</f>
        <v>2</v>
      </c>
      <c r="H23" s="1152" t="s">
        <v>3486</v>
      </c>
      <c r="I23" s="1163"/>
      <c r="J23" s="1164"/>
      <c r="K23" s="1163"/>
      <c r="L23" s="1163"/>
      <c r="M23" s="1163">
        <v>14</v>
      </c>
      <c r="N23" s="1163" t="s">
        <v>4084</v>
      </c>
      <c r="O23" s="1165" t="s">
        <v>4086</v>
      </c>
      <c r="P23" s="1166">
        <v>1000</v>
      </c>
      <c r="Q23" s="1166"/>
      <c r="R23" s="1167">
        <v>0.43099999999999999</v>
      </c>
      <c r="S23" s="1168"/>
      <c r="T23" s="1169">
        <f t="shared" si="11"/>
        <v>0.8</v>
      </c>
      <c r="U23" s="1170" cm="1">
        <f t="array" ref="U23">EBOM_Factor</f>
        <v>0.27496600450474862</v>
      </c>
      <c r="V23" s="1170">
        <f t="shared" ref="V23:V27" si="32">R23*U23*T23</f>
        <v>9.4808278353237324E-2</v>
      </c>
      <c r="W23" s="1171">
        <f t="shared" ref="W23:W27" si="33">E23*V23</f>
        <v>0.18961655670647465</v>
      </c>
      <c r="X23" s="1171">
        <f t="shared" ref="X23:X27" si="34">F23*V23</f>
        <v>0</v>
      </c>
      <c r="Y23" s="1171">
        <f t="shared" ref="Y23:Y27" si="35">X23+W23</f>
        <v>0.18961655670647465</v>
      </c>
      <c r="Z23" s="1173"/>
    </row>
    <row r="24" spans="1:26" ht="25.9" customHeight="1">
      <c r="A24" s="1162">
        <f t="shared" si="30"/>
        <v>16</v>
      </c>
      <c r="B24" s="1163" t="s">
        <v>3499</v>
      </c>
      <c r="C24" s="1163" t="s">
        <v>4087</v>
      </c>
      <c r="D24" s="1164" t="s">
        <v>4088</v>
      </c>
      <c r="E24" s="1152">
        <v>1</v>
      </c>
      <c r="F24" s="1152"/>
      <c r="G24" s="1153">
        <f t="shared" si="31"/>
        <v>1</v>
      </c>
      <c r="H24" s="1152" t="s">
        <v>3486</v>
      </c>
      <c r="I24" s="1163"/>
      <c r="J24" s="1164"/>
      <c r="K24" s="1163"/>
      <c r="L24" s="1163"/>
      <c r="M24" s="1163">
        <v>8</v>
      </c>
      <c r="N24" s="1163" t="s">
        <v>4089</v>
      </c>
      <c r="O24" s="1165" t="s">
        <v>4090</v>
      </c>
      <c r="P24" s="1166">
        <v>1000</v>
      </c>
      <c r="Q24" s="1166"/>
      <c r="R24" s="1167">
        <v>0.99117999999999995</v>
      </c>
      <c r="S24" s="1168"/>
      <c r="T24" s="1169">
        <f t="shared" si="11"/>
        <v>0.8</v>
      </c>
      <c r="U24" s="1170" cm="1">
        <f t="array" ref="U24">EBOM_Factor</f>
        <v>0.31042683161762363</v>
      </c>
      <c r="V24" s="1170">
        <f t="shared" si="32"/>
        <v>0.24615109357020493</v>
      </c>
      <c r="W24" s="1171">
        <f t="shared" si="33"/>
        <v>0.24615109357020493</v>
      </c>
      <c r="X24" s="1171">
        <f t="shared" si="34"/>
        <v>0</v>
      </c>
      <c r="Y24" s="1171">
        <f t="shared" si="35"/>
        <v>0.24615109357020493</v>
      </c>
      <c r="Z24" s="1173"/>
    </row>
    <row r="25" spans="1:26" ht="25.9" customHeight="1">
      <c r="A25" s="1162">
        <f t="shared" si="30"/>
        <v>17</v>
      </c>
      <c r="B25" s="1163" t="s">
        <v>3499</v>
      </c>
      <c r="C25" s="1163" t="s">
        <v>4055</v>
      </c>
      <c r="D25" s="1164" t="s">
        <v>4091</v>
      </c>
      <c r="E25" s="1152">
        <v>1</v>
      </c>
      <c r="F25" s="1152"/>
      <c r="G25" s="1153">
        <f t="shared" si="31"/>
        <v>1</v>
      </c>
      <c r="H25" s="1152" t="s">
        <v>3486</v>
      </c>
      <c r="I25" s="1163"/>
      <c r="J25" s="1164" t="s">
        <v>4093</v>
      </c>
      <c r="K25" s="1163"/>
      <c r="L25" s="1163"/>
      <c r="M25" s="1163">
        <v>196</v>
      </c>
      <c r="N25" s="1163" t="s">
        <v>4092</v>
      </c>
      <c r="O25" s="1165" t="s">
        <v>4162</v>
      </c>
      <c r="P25" s="1166">
        <v>480</v>
      </c>
      <c r="Q25" s="1166"/>
      <c r="R25" s="1167">
        <v>8.17</v>
      </c>
      <c r="S25" s="1168"/>
      <c r="T25" s="1169">
        <f t="shared" si="11"/>
        <v>0.8</v>
      </c>
      <c r="U25" s="1170" cm="1">
        <f t="array" ref="U25">EBOM_Factor</f>
        <v>0.27300868858609761</v>
      </c>
      <c r="V25" s="1170">
        <f t="shared" si="32"/>
        <v>1.7843847885987341</v>
      </c>
      <c r="W25" s="1171">
        <f t="shared" si="33"/>
        <v>1.7843847885987341</v>
      </c>
      <c r="X25" s="1171">
        <f t="shared" si="34"/>
        <v>0</v>
      </c>
      <c r="Y25" s="1171">
        <f t="shared" si="35"/>
        <v>1.7843847885987341</v>
      </c>
      <c r="Z25" s="1173"/>
    </row>
    <row r="26" spans="1:26" ht="25.9" customHeight="1">
      <c r="A26" s="1162">
        <f t="shared" si="30"/>
        <v>18</v>
      </c>
      <c r="B26" s="1163" t="s">
        <v>3535</v>
      </c>
      <c r="C26" s="1163" t="s">
        <v>4094</v>
      </c>
      <c r="D26" s="1163"/>
      <c r="E26" s="1152">
        <v>1</v>
      </c>
      <c r="F26" s="1152"/>
      <c r="G26" s="1153">
        <f t="shared" si="31"/>
        <v>1</v>
      </c>
      <c r="H26" s="1152" t="s">
        <v>3486</v>
      </c>
      <c r="I26" s="1163"/>
      <c r="J26" s="1164"/>
      <c r="K26" s="1163"/>
      <c r="L26" s="1163"/>
      <c r="M26" s="1163">
        <v>2</v>
      </c>
      <c r="N26" s="1163" t="s">
        <v>4095</v>
      </c>
      <c r="O26" s="1165" t="s">
        <v>4097</v>
      </c>
      <c r="P26" s="1166">
        <v>1000</v>
      </c>
      <c r="Q26" s="1166"/>
      <c r="R26" s="1167">
        <v>0.378</v>
      </c>
      <c r="S26" s="1168"/>
      <c r="T26" s="1169">
        <f t="shared" si="11"/>
        <v>0.8</v>
      </c>
      <c r="U26" s="1170" cm="1">
        <f t="array" ref="U26">EBOM_Factor</f>
        <v>0.31042683161762363</v>
      </c>
      <c r="V26" s="1170">
        <f t="shared" si="32"/>
        <v>9.3873073881169389E-2</v>
      </c>
      <c r="W26" s="1171">
        <f t="shared" si="33"/>
        <v>9.3873073881169389E-2</v>
      </c>
      <c r="X26" s="1171">
        <f t="shared" si="34"/>
        <v>0</v>
      </c>
      <c r="Y26" s="1171">
        <f t="shared" si="35"/>
        <v>9.3873073881169389E-2</v>
      </c>
      <c r="Z26" s="1173"/>
    </row>
    <row r="27" spans="1:26" ht="25.9" customHeight="1">
      <c r="A27" s="1162">
        <f t="shared" si="30"/>
        <v>19</v>
      </c>
      <c r="B27" s="1163" t="s">
        <v>3535</v>
      </c>
      <c r="C27" s="1163" t="s">
        <v>4094</v>
      </c>
      <c r="D27" s="1163"/>
      <c r="E27" s="1152">
        <v>1</v>
      </c>
      <c r="F27" s="1152"/>
      <c r="G27" s="1153">
        <f t="shared" si="31"/>
        <v>1</v>
      </c>
      <c r="H27" s="1152" t="s">
        <v>3486</v>
      </c>
      <c r="I27" s="1163"/>
      <c r="J27" s="1164"/>
      <c r="K27" s="1163"/>
      <c r="L27" s="1163"/>
      <c r="M27" s="1163">
        <v>2</v>
      </c>
      <c r="N27" s="1163" t="s">
        <v>4096</v>
      </c>
      <c r="O27" s="1165" t="s">
        <v>4098</v>
      </c>
      <c r="P27" s="1166">
        <v>1000</v>
      </c>
      <c r="Q27" s="1166"/>
      <c r="R27" s="1167">
        <v>0.28399999999999997</v>
      </c>
      <c r="S27" s="1168"/>
      <c r="T27" s="1169">
        <f t="shared" si="11"/>
        <v>0.8</v>
      </c>
      <c r="U27" s="1170" cm="1">
        <f t="array" ref="U27">EBOM_Factor</f>
        <v>0.31042683161762363</v>
      </c>
      <c r="V27" s="1170">
        <f t="shared" si="32"/>
        <v>7.0528976143524089E-2</v>
      </c>
      <c r="W27" s="1171">
        <f t="shared" si="33"/>
        <v>7.0528976143524089E-2</v>
      </c>
      <c r="X27" s="1171">
        <f t="shared" si="34"/>
        <v>0</v>
      </c>
      <c r="Y27" s="1171">
        <f t="shared" si="35"/>
        <v>7.0528976143524089E-2</v>
      </c>
      <c r="Z27" s="1173"/>
    </row>
    <row r="28" spans="1:26" ht="25.9" customHeight="1">
      <c r="A28" s="1162">
        <f t="shared" si="24"/>
        <v>20</v>
      </c>
      <c r="B28" s="1163" t="s">
        <v>3535</v>
      </c>
      <c r="C28" s="1163" t="s">
        <v>4104</v>
      </c>
      <c r="D28" s="1163" t="s">
        <v>4099</v>
      </c>
      <c r="E28" s="1152">
        <v>1</v>
      </c>
      <c r="F28" s="1152"/>
      <c r="G28" s="1153">
        <f t="shared" si="29"/>
        <v>1</v>
      </c>
      <c r="H28" s="1152" t="s">
        <v>3486</v>
      </c>
      <c r="I28" s="1163"/>
      <c r="J28" s="1164"/>
      <c r="K28" s="1163"/>
      <c r="L28" s="1163"/>
      <c r="M28" s="1163">
        <v>12</v>
      </c>
      <c r="N28" s="1220" t="s">
        <v>4100</v>
      </c>
      <c r="O28" s="1165" t="s">
        <v>4102</v>
      </c>
      <c r="P28" s="1166">
        <v>1000</v>
      </c>
      <c r="Q28" s="1166"/>
      <c r="R28" s="1167">
        <v>1.51</v>
      </c>
      <c r="S28" s="1168"/>
      <c r="T28" s="1169">
        <f t="shared" si="11"/>
        <v>0.8</v>
      </c>
      <c r="U28" s="1170" cm="1">
        <f t="array" ref="U28">EBOM_Factor</f>
        <v>0.31042683161762363</v>
      </c>
      <c r="V28" s="1170">
        <f t="shared" si="25"/>
        <v>0.37499561259408937</v>
      </c>
      <c r="W28" s="1171">
        <f t="shared" si="26"/>
        <v>0.37499561259408937</v>
      </c>
      <c r="X28" s="1171">
        <f t="shared" si="27"/>
        <v>0</v>
      </c>
      <c r="Y28" s="1171">
        <f t="shared" si="28"/>
        <v>0.37499561259408937</v>
      </c>
      <c r="Z28" s="1173"/>
    </row>
    <row r="29" spans="1:26" ht="25.9" customHeight="1">
      <c r="A29" s="1162">
        <f t="shared" si="18"/>
        <v>21</v>
      </c>
      <c r="B29" s="1163" t="s">
        <v>3535</v>
      </c>
      <c r="C29" s="1163" t="s">
        <v>4104</v>
      </c>
      <c r="D29" s="1163" t="s">
        <v>276</v>
      </c>
      <c r="E29" s="1152">
        <v>1</v>
      </c>
      <c r="F29" s="1152"/>
      <c r="G29" s="1153">
        <f t="shared" si="19"/>
        <v>1</v>
      </c>
      <c r="H29" s="1152" t="s">
        <v>3486</v>
      </c>
      <c r="I29" s="1163"/>
      <c r="J29" s="1164"/>
      <c r="K29" s="1163"/>
      <c r="L29" s="1163"/>
      <c r="M29" s="1163">
        <v>4</v>
      </c>
      <c r="N29" s="1163" t="s">
        <v>4101</v>
      </c>
      <c r="O29" s="1165" t="s">
        <v>4103</v>
      </c>
      <c r="P29" s="1166">
        <v>1000</v>
      </c>
      <c r="Q29" s="1166"/>
      <c r="R29" s="1167">
        <v>0.46100000000000002</v>
      </c>
      <c r="S29" s="1168"/>
      <c r="T29" s="1169">
        <f t="shared" si="11"/>
        <v>0.8</v>
      </c>
      <c r="U29" s="1170" cm="1">
        <f t="array" ref="U29">EBOM_Factor</f>
        <v>0.31042683161762363</v>
      </c>
      <c r="V29" s="1170">
        <f t="shared" si="20"/>
        <v>0.11448541550057961</v>
      </c>
      <c r="W29" s="1171">
        <f t="shared" si="21"/>
        <v>0.11448541550057961</v>
      </c>
      <c r="X29" s="1171">
        <f t="shared" si="22"/>
        <v>0</v>
      </c>
      <c r="Y29" s="1171">
        <f t="shared" si="23"/>
        <v>0.11448541550057961</v>
      </c>
      <c r="Z29" s="1173"/>
    </row>
    <row r="30" spans="1:26" ht="25.9" customHeight="1">
      <c r="A30" s="1162">
        <f t="shared" ref="A30:A32" si="36">ROW()-8</f>
        <v>22</v>
      </c>
      <c r="B30" s="1163" t="s">
        <v>667</v>
      </c>
      <c r="C30" s="1163" t="s">
        <v>4105</v>
      </c>
      <c r="D30" s="1163"/>
      <c r="E30" s="1152">
        <v>1</v>
      </c>
      <c r="F30" s="1152"/>
      <c r="G30" s="1153">
        <f t="shared" ref="G30" si="37">E30+F30</f>
        <v>1</v>
      </c>
      <c r="H30" s="1152"/>
      <c r="I30" s="1163"/>
      <c r="J30" s="1164"/>
      <c r="K30" s="1163"/>
      <c r="L30" s="1163"/>
      <c r="M30" s="1163">
        <v>0</v>
      </c>
      <c r="N30" s="1163" t="s">
        <v>4106</v>
      </c>
      <c r="O30" s="1165" t="s">
        <v>4063</v>
      </c>
      <c r="P30" s="1166">
        <v>5000</v>
      </c>
      <c r="Q30" s="1166"/>
      <c r="R30" s="1167">
        <f>Info!E23</f>
        <v>3.6740240147146965E-7</v>
      </c>
      <c r="S30" s="1168"/>
      <c r="T30" s="1169">
        <f t="shared" si="11"/>
        <v>0.8</v>
      </c>
      <c r="U30" s="1170" cm="1">
        <f t="array" ref="U30">EBOM_Factor</f>
        <v>0.4114139401538276</v>
      </c>
      <c r="V30" s="1170">
        <f t="shared" si="0"/>
        <v>1.2092357568908462E-7</v>
      </c>
      <c r="W30" s="1171">
        <f t="shared" ref="W30:W33" si="38">E30*V30</f>
        <v>1.2092357568908462E-7</v>
      </c>
      <c r="X30" s="1171">
        <f t="shared" ref="X30:X33" si="39">F30*V30</f>
        <v>0</v>
      </c>
      <c r="Y30" s="1171">
        <f t="shared" ref="Y30" si="40">X30+W30</f>
        <v>1.2092357568908462E-7</v>
      </c>
      <c r="Z30" s="1173"/>
    </row>
    <row r="31" spans="1:26" ht="25.9" customHeight="1">
      <c r="A31" s="1162">
        <f t="shared" si="36"/>
        <v>23</v>
      </c>
      <c r="B31" s="1163" t="s">
        <v>667</v>
      </c>
      <c r="C31" s="1163" t="s">
        <v>4163</v>
      </c>
      <c r="D31" s="1163" t="s">
        <v>4164</v>
      </c>
      <c r="E31" s="1152">
        <v>1</v>
      </c>
      <c r="F31" s="1152"/>
      <c r="G31" s="1153">
        <f>E31+F31</f>
        <v>1</v>
      </c>
      <c r="H31" s="1152"/>
      <c r="I31" s="1163"/>
      <c r="J31" s="1164" t="s">
        <v>4165</v>
      </c>
      <c r="K31" s="1163"/>
      <c r="L31" s="1163"/>
      <c r="M31" s="1163">
        <v>0</v>
      </c>
      <c r="N31" s="1163" t="s">
        <v>4166</v>
      </c>
      <c r="O31" s="1259" t="s">
        <v>4167</v>
      </c>
      <c r="P31" s="1166">
        <v>2000</v>
      </c>
      <c r="Q31" s="1166"/>
      <c r="R31" s="1167">
        <v>18.46</v>
      </c>
      <c r="S31" s="1168"/>
      <c r="T31" s="1169">
        <f t="shared" si="11"/>
        <v>0.8</v>
      </c>
      <c r="U31" s="1170" cm="1">
        <f t="array" ref="U31">EBOM_Factor</f>
        <v>0.3504608431930436</v>
      </c>
      <c r="V31" s="1170">
        <f t="shared" si="0"/>
        <v>5.1756057322748683</v>
      </c>
      <c r="W31" s="1171">
        <f t="shared" si="38"/>
        <v>5.1756057322748683</v>
      </c>
      <c r="X31" s="1171">
        <f t="shared" si="39"/>
        <v>0</v>
      </c>
      <c r="Y31" s="1171">
        <f>X31+W31</f>
        <v>5.1756057322748683</v>
      </c>
      <c r="Z31" s="1173"/>
    </row>
    <row r="32" spans="1:26" ht="25.9" customHeight="1">
      <c r="A32" s="1162">
        <f t="shared" si="36"/>
        <v>24</v>
      </c>
      <c r="B32" s="1163"/>
      <c r="C32" s="1163"/>
      <c r="D32" s="1163"/>
      <c r="E32" s="1152"/>
      <c r="F32" s="1152"/>
      <c r="G32" s="1153">
        <f t="shared" ref="G32:G33" si="41">E32+F32</f>
        <v>0</v>
      </c>
      <c r="H32" s="1152"/>
      <c r="I32" s="1163"/>
      <c r="J32" s="1164"/>
      <c r="K32" s="1163"/>
      <c r="L32" s="1163"/>
      <c r="M32" s="1163"/>
      <c r="N32" s="1163"/>
      <c r="O32" s="1165"/>
      <c r="P32" s="1166"/>
      <c r="Q32" s="1166"/>
      <c r="R32" s="1167"/>
      <c r="S32" s="1168"/>
      <c r="T32" s="1169">
        <f t="shared" si="11"/>
        <v>0.8</v>
      </c>
      <c r="U32" s="1170" cm="1">
        <f t="array" ref="U32">EBOM_Factor</f>
        <v>0</v>
      </c>
      <c r="V32" s="1170">
        <f t="shared" si="0"/>
        <v>0</v>
      </c>
      <c r="W32" s="1171">
        <f t="shared" si="38"/>
        <v>0</v>
      </c>
      <c r="X32" s="1171">
        <f t="shared" si="39"/>
        <v>0</v>
      </c>
      <c r="Y32" s="1171">
        <f t="shared" ref="Y32:Y33" si="42">X32+W32</f>
        <v>0</v>
      </c>
      <c r="Z32" s="1173"/>
    </row>
    <row r="33" spans="1:26" ht="25.9" customHeight="1">
      <c r="A33" s="1174"/>
      <c r="B33" s="1175" t="s">
        <v>3525</v>
      </c>
      <c r="C33" s="1163"/>
      <c r="D33" s="1164"/>
      <c r="E33" s="1152"/>
      <c r="F33" s="1152"/>
      <c r="G33" s="1153">
        <f t="shared" si="41"/>
        <v>0</v>
      </c>
      <c r="H33" s="1152"/>
      <c r="I33" s="1164"/>
      <c r="J33" s="1163"/>
      <c r="K33" s="1163"/>
      <c r="L33" s="1163"/>
      <c r="M33" s="1163"/>
      <c r="N33" s="1163"/>
      <c r="O33" s="1165"/>
      <c r="P33" s="1166"/>
      <c r="Q33" s="1166"/>
      <c r="R33" s="1167"/>
      <c r="S33" s="1168"/>
      <c r="T33" s="1169">
        <f t="shared" si="11"/>
        <v>0.8</v>
      </c>
      <c r="U33" s="1170" cm="1">
        <f t="array" ref="U33">EBOM_Factor</f>
        <v>0</v>
      </c>
      <c r="V33" s="1170">
        <f t="shared" si="0"/>
        <v>0</v>
      </c>
      <c r="W33" s="1171">
        <f t="shared" si="38"/>
        <v>0</v>
      </c>
      <c r="X33" s="1171">
        <f t="shared" si="39"/>
        <v>0</v>
      </c>
      <c r="Y33" s="1171">
        <f t="shared" si="42"/>
        <v>0</v>
      </c>
      <c r="Z33" s="1173"/>
    </row>
    <row r="34" spans="1:26" ht="25.9" customHeight="1">
      <c r="A34" s="1162">
        <f t="shared" ref="A34:A39" si="43">ROW()-8</f>
        <v>26</v>
      </c>
      <c r="B34" s="1163" t="s">
        <v>3533</v>
      </c>
      <c r="C34" s="1163" t="s">
        <v>3555</v>
      </c>
      <c r="D34" s="1163">
        <v>0</v>
      </c>
      <c r="E34" s="1152"/>
      <c r="F34" s="1152">
        <v>16</v>
      </c>
      <c r="G34" s="1153">
        <f t="shared" ref="G34:G39" si="44">E34+F34</f>
        <v>16</v>
      </c>
      <c r="H34" s="1152" t="s">
        <v>3486</v>
      </c>
      <c r="I34" s="1163">
        <v>0</v>
      </c>
      <c r="J34" s="1164">
        <v>0</v>
      </c>
      <c r="K34" s="1163">
        <v>0</v>
      </c>
      <c r="L34" s="1163">
        <v>0</v>
      </c>
      <c r="M34" s="1163">
        <v>0</v>
      </c>
      <c r="N34" s="1220" t="s">
        <v>4012</v>
      </c>
      <c r="O34" s="1165" t="s">
        <v>4006</v>
      </c>
      <c r="P34" s="1166">
        <v>0</v>
      </c>
      <c r="Q34" s="1166"/>
      <c r="R34" s="1167">
        <v>8.9999999999999998E-4</v>
      </c>
      <c r="S34" s="1168"/>
      <c r="T34" s="1169">
        <v>1</v>
      </c>
      <c r="U34" s="1170" cm="1">
        <f t="array" ref="U34">EBOM_Factor</f>
        <v>1</v>
      </c>
      <c r="V34" s="1170">
        <f t="shared" ref="V34:V39" si="45">R34*U34*T34</f>
        <v>8.9999999999999998E-4</v>
      </c>
      <c r="W34" s="1171">
        <f t="shared" ref="W34:W39" si="46">E34*V34</f>
        <v>0</v>
      </c>
      <c r="X34" s="1171">
        <f t="shared" ref="X34:X39" si="47">F34*V34</f>
        <v>1.44E-2</v>
      </c>
      <c r="Y34" s="1171">
        <f t="shared" ref="Y34:Y39" si="48">X34+W34</f>
        <v>1.44E-2</v>
      </c>
      <c r="Z34" s="1173"/>
    </row>
    <row r="35" spans="1:26" ht="25.9" customHeight="1">
      <c r="A35" s="1162">
        <f t="shared" si="43"/>
        <v>27</v>
      </c>
      <c r="B35" s="1163" t="s">
        <v>3533</v>
      </c>
      <c r="C35" s="1163" t="s">
        <v>3555</v>
      </c>
      <c r="D35" s="1163">
        <v>0</v>
      </c>
      <c r="E35" s="1152"/>
      <c r="F35" s="1152">
        <v>2</v>
      </c>
      <c r="G35" s="1153">
        <f t="shared" si="44"/>
        <v>2</v>
      </c>
      <c r="H35" s="1152" t="s">
        <v>3486</v>
      </c>
      <c r="I35" s="1163">
        <v>0</v>
      </c>
      <c r="J35" s="1164">
        <v>0</v>
      </c>
      <c r="K35" s="1163">
        <v>0</v>
      </c>
      <c r="L35" s="1163">
        <v>0</v>
      </c>
      <c r="M35" s="1163">
        <v>0</v>
      </c>
      <c r="N35" s="1220" t="s">
        <v>4014</v>
      </c>
      <c r="O35" s="1165" t="s">
        <v>4006</v>
      </c>
      <c r="P35" s="1166">
        <v>0</v>
      </c>
      <c r="Q35" s="1166"/>
      <c r="R35" s="1167">
        <v>5.4999999999999997E-3</v>
      </c>
      <c r="S35" s="1168"/>
      <c r="T35" s="1169">
        <v>1</v>
      </c>
      <c r="U35" s="1170" cm="1">
        <f t="array" ref="U35">EBOM_Factor</f>
        <v>1</v>
      </c>
      <c r="V35" s="1170">
        <f t="shared" si="45"/>
        <v>5.4999999999999997E-3</v>
      </c>
      <c r="W35" s="1171">
        <f t="shared" si="46"/>
        <v>0</v>
      </c>
      <c r="X35" s="1171">
        <f t="shared" si="47"/>
        <v>1.0999999999999999E-2</v>
      </c>
      <c r="Y35" s="1171">
        <f t="shared" si="48"/>
        <v>1.0999999999999999E-2</v>
      </c>
      <c r="Z35" s="1173"/>
    </row>
    <row r="36" spans="1:26" ht="25.9" customHeight="1">
      <c r="A36" s="1162">
        <f t="shared" si="43"/>
        <v>28</v>
      </c>
      <c r="B36" s="1163" t="s">
        <v>3533</v>
      </c>
      <c r="C36" s="1163" t="s">
        <v>4072</v>
      </c>
      <c r="D36" s="1163"/>
      <c r="E36" s="1152"/>
      <c r="F36" s="1152">
        <v>8</v>
      </c>
      <c r="G36" s="1153">
        <f t="shared" si="44"/>
        <v>8</v>
      </c>
      <c r="H36" s="1152"/>
      <c r="I36" s="1163"/>
      <c r="J36" s="1164"/>
      <c r="K36" s="1163"/>
      <c r="L36" s="1163"/>
      <c r="M36" s="1163">
        <v>8</v>
      </c>
      <c r="N36" s="1163" t="s">
        <v>4073</v>
      </c>
      <c r="O36" s="1165" t="s">
        <v>4074</v>
      </c>
      <c r="P36" s="1166">
        <v>1000</v>
      </c>
      <c r="Q36" s="1166"/>
      <c r="R36" s="1167">
        <v>5.0819999999999997E-2</v>
      </c>
      <c r="S36" s="1168"/>
      <c r="T36" s="1169">
        <f t="shared" si="11"/>
        <v>0.8</v>
      </c>
      <c r="U36" s="1170" cm="1">
        <f t="array" ref="U36">EBOM_Factor</f>
        <v>0.21573395459663205</v>
      </c>
      <c r="V36" s="1170">
        <f t="shared" si="45"/>
        <v>8.7708796580806738E-3</v>
      </c>
      <c r="W36" s="1171">
        <f t="shared" si="46"/>
        <v>0</v>
      </c>
      <c r="X36" s="1171">
        <f t="shared" si="47"/>
        <v>7.016703726464539E-2</v>
      </c>
      <c r="Y36" s="1171">
        <f t="shared" si="48"/>
        <v>7.016703726464539E-2</v>
      </c>
      <c r="Z36" s="1173"/>
    </row>
    <row r="37" spans="1:26" ht="25.9" customHeight="1">
      <c r="A37" s="1162">
        <f t="shared" si="43"/>
        <v>29</v>
      </c>
      <c r="B37" s="1163" t="s">
        <v>3533</v>
      </c>
      <c r="C37" s="1163" t="s">
        <v>3553</v>
      </c>
      <c r="D37" s="1163">
        <v>0</v>
      </c>
      <c r="E37" s="1152"/>
      <c r="F37" s="1152">
        <v>45</v>
      </c>
      <c r="G37" s="1153">
        <f t="shared" si="44"/>
        <v>45</v>
      </c>
      <c r="H37" s="1152" t="s">
        <v>3486</v>
      </c>
      <c r="I37" s="1163">
        <v>0</v>
      </c>
      <c r="J37" s="1164">
        <v>0</v>
      </c>
      <c r="K37" s="1163">
        <v>0</v>
      </c>
      <c r="L37" s="1163">
        <v>0</v>
      </c>
      <c r="M37" s="1163">
        <v>0</v>
      </c>
      <c r="N37" s="1220" t="s">
        <v>4012</v>
      </c>
      <c r="O37" s="1165" t="s">
        <v>4006</v>
      </c>
      <c r="P37" s="1166">
        <v>0</v>
      </c>
      <c r="Q37" s="1166"/>
      <c r="R37" s="1167">
        <v>1.8E-3</v>
      </c>
      <c r="S37" s="1168"/>
      <c r="T37" s="1169">
        <v>1</v>
      </c>
      <c r="U37" s="1170" cm="1">
        <f t="array" ref="U37">EBOM_Factor</f>
        <v>1</v>
      </c>
      <c r="V37" s="1170">
        <f t="shared" si="45"/>
        <v>1.8E-3</v>
      </c>
      <c r="W37" s="1171">
        <f t="shared" si="46"/>
        <v>0</v>
      </c>
      <c r="X37" s="1171">
        <f t="shared" si="47"/>
        <v>8.1000000000000003E-2</v>
      </c>
      <c r="Y37" s="1171">
        <f t="shared" si="48"/>
        <v>8.1000000000000003E-2</v>
      </c>
      <c r="Z37" s="1173"/>
    </row>
    <row r="38" spans="1:26" ht="25.9" customHeight="1">
      <c r="A38" s="1162">
        <f t="shared" si="43"/>
        <v>30</v>
      </c>
      <c r="B38" s="1163" t="s">
        <v>3533</v>
      </c>
      <c r="C38" s="1163" t="s">
        <v>3553</v>
      </c>
      <c r="D38" s="1163">
        <v>0</v>
      </c>
      <c r="E38" s="1152"/>
      <c r="F38" s="1152">
        <v>4</v>
      </c>
      <c r="G38" s="1153">
        <f t="shared" si="44"/>
        <v>4</v>
      </c>
      <c r="H38" s="1152" t="s">
        <v>3486</v>
      </c>
      <c r="I38" s="1163">
        <v>0</v>
      </c>
      <c r="J38" s="1164">
        <v>0</v>
      </c>
      <c r="K38" s="1163">
        <v>0</v>
      </c>
      <c r="L38" s="1163">
        <v>0</v>
      </c>
      <c r="M38" s="1163">
        <v>0</v>
      </c>
      <c r="N38" s="1220" t="s">
        <v>4014</v>
      </c>
      <c r="O38" s="1165" t="s">
        <v>4006</v>
      </c>
      <c r="P38" s="1166">
        <v>0</v>
      </c>
      <c r="Q38" s="1166"/>
      <c r="R38" s="1167">
        <v>2.5999999999999999E-3</v>
      </c>
      <c r="S38" s="1168"/>
      <c r="T38" s="1169">
        <v>1</v>
      </c>
      <c r="U38" s="1170" cm="1">
        <f t="array" ref="U38">EBOM_Factor</f>
        <v>1</v>
      </c>
      <c r="V38" s="1170">
        <f t="shared" si="45"/>
        <v>2.5999999999999999E-3</v>
      </c>
      <c r="W38" s="1171">
        <f t="shared" si="46"/>
        <v>0</v>
      </c>
      <c r="X38" s="1171">
        <f t="shared" si="47"/>
        <v>1.04E-2</v>
      </c>
      <c r="Y38" s="1171">
        <f t="shared" si="48"/>
        <v>1.04E-2</v>
      </c>
      <c r="Z38" s="1173"/>
    </row>
    <row r="39" spans="1:26" ht="25.9" customHeight="1">
      <c r="A39" s="1162">
        <f t="shared" si="43"/>
        <v>31</v>
      </c>
      <c r="B39" s="1163" t="s">
        <v>3533</v>
      </c>
      <c r="C39" s="1163" t="s">
        <v>3553</v>
      </c>
      <c r="D39" s="1163">
        <v>0</v>
      </c>
      <c r="E39" s="1152"/>
      <c r="F39" s="1152">
        <v>1</v>
      </c>
      <c r="G39" s="1153">
        <f t="shared" si="44"/>
        <v>1</v>
      </c>
      <c r="H39" s="1152" t="s">
        <v>3486</v>
      </c>
      <c r="I39" s="1163">
        <v>0</v>
      </c>
      <c r="J39" s="1164">
        <v>0</v>
      </c>
      <c r="K39" s="1163">
        <v>0</v>
      </c>
      <c r="L39" s="1163">
        <v>0</v>
      </c>
      <c r="M39" s="1163">
        <v>0</v>
      </c>
      <c r="N39" s="1220" t="s">
        <v>4016</v>
      </c>
      <c r="O39" s="1165" t="s">
        <v>4006</v>
      </c>
      <c r="P39" s="1166">
        <v>0</v>
      </c>
      <c r="Q39" s="1166"/>
      <c r="R39" s="1167">
        <v>5.7000000000000002E-3</v>
      </c>
      <c r="S39" s="1168"/>
      <c r="T39" s="1169">
        <v>1</v>
      </c>
      <c r="U39" s="1170" cm="1">
        <f t="array" ref="U39">EBOM_Factor</f>
        <v>1</v>
      </c>
      <c r="V39" s="1170">
        <f t="shared" si="45"/>
        <v>5.7000000000000002E-3</v>
      </c>
      <c r="W39" s="1171">
        <f t="shared" si="46"/>
        <v>0</v>
      </c>
      <c r="X39" s="1171">
        <f t="shared" si="47"/>
        <v>5.7000000000000002E-3</v>
      </c>
      <c r="Y39" s="1171">
        <f t="shared" si="48"/>
        <v>5.7000000000000002E-3</v>
      </c>
      <c r="Z39" s="1173"/>
    </row>
    <row r="40" spans="1:26" ht="25.9" customHeight="1">
      <c r="A40" s="1162">
        <f>ROW()-8</f>
        <v>32</v>
      </c>
      <c r="B40" s="1163" t="s">
        <v>3533</v>
      </c>
      <c r="C40" s="1163" t="s">
        <v>3490</v>
      </c>
      <c r="D40" s="1163">
        <v>0</v>
      </c>
      <c r="E40" s="1152"/>
      <c r="F40" s="1152">
        <v>5</v>
      </c>
      <c r="G40" s="1153">
        <f>E40+F40</f>
        <v>5</v>
      </c>
      <c r="H40" s="1152" t="s">
        <v>3486</v>
      </c>
      <c r="I40" s="1163">
        <v>0</v>
      </c>
      <c r="J40" s="1164">
        <v>0</v>
      </c>
      <c r="K40" s="1163">
        <v>0</v>
      </c>
      <c r="L40" s="1163">
        <v>0</v>
      </c>
      <c r="M40" s="1163">
        <v>0</v>
      </c>
      <c r="N40" s="1220" t="s">
        <v>4023</v>
      </c>
      <c r="O40" s="1165" t="s">
        <v>4006</v>
      </c>
      <c r="P40" s="1166">
        <v>0</v>
      </c>
      <c r="Q40" s="1166"/>
      <c r="R40" s="1167">
        <v>1.72E-2</v>
      </c>
      <c r="S40" s="1168"/>
      <c r="T40" s="1169">
        <v>1</v>
      </c>
      <c r="U40" s="1170" cm="1">
        <f t="array" ref="U40">EBOM_Factor</f>
        <v>1</v>
      </c>
      <c r="V40" s="1170">
        <f t="shared" si="0"/>
        <v>1.72E-2</v>
      </c>
      <c r="W40" s="1171">
        <f>E40*V40</f>
        <v>0</v>
      </c>
      <c r="X40" s="1171">
        <f>F40*V40</f>
        <v>8.5999999999999993E-2</v>
      </c>
      <c r="Y40" s="1171">
        <f>X40+W40</f>
        <v>8.5999999999999993E-2</v>
      </c>
      <c r="Z40" s="1173"/>
    </row>
    <row r="41" spans="1:26" ht="25.9" customHeight="1">
      <c r="A41" s="1162">
        <f t="shared" ref="A41:A45" si="49">ROW()-8</f>
        <v>33</v>
      </c>
      <c r="B41" s="1163" t="s">
        <v>3533</v>
      </c>
      <c r="C41" s="1163" t="s">
        <v>3490</v>
      </c>
      <c r="D41" s="1163">
        <v>0</v>
      </c>
      <c r="E41" s="1152"/>
      <c r="F41" s="1152">
        <v>1</v>
      </c>
      <c r="G41" s="1153">
        <f t="shared" ref="G41:G45" si="50">E41+F41</f>
        <v>1</v>
      </c>
      <c r="H41" s="1152" t="s">
        <v>3486</v>
      </c>
      <c r="I41" s="1163">
        <v>0</v>
      </c>
      <c r="J41" s="1164">
        <v>0</v>
      </c>
      <c r="K41" s="1163">
        <v>0</v>
      </c>
      <c r="L41" s="1163">
        <v>0</v>
      </c>
      <c r="M41" s="1163">
        <v>0</v>
      </c>
      <c r="N41" s="1220" t="s">
        <v>4028</v>
      </c>
      <c r="O41" s="1165" t="s">
        <v>4006</v>
      </c>
      <c r="P41" s="1166">
        <v>0</v>
      </c>
      <c r="Q41" s="1166"/>
      <c r="R41" s="1167">
        <v>8.0000000000000002E-3</v>
      </c>
      <c r="S41" s="1168"/>
      <c r="T41" s="1169">
        <v>1</v>
      </c>
      <c r="U41" s="1170" cm="1">
        <f t="array" ref="U41">EBOM_Factor</f>
        <v>1</v>
      </c>
      <c r="V41" s="1170">
        <f t="shared" si="0"/>
        <v>8.0000000000000002E-3</v>
      </c>
      <c r="W41" s="1171">
        <f t="shared" ref="W41:W45" si="51">E41*V41</f>
        <v>0</v>
      </c>
      <c r="X41" s="1171">
        <f t="shared" ref="X41:X45" si="52">F41*V41</f>
        <v>8.0000000000000002E-3</v>
      </c>
      <c r="Y41" s="1171">
        <f t="shared" ref="Y41:Y45" si="53">X41+W41</f>
        <v>8.0000000000000002E-3</v>
      </c>
      <c r="Z41" s="1173"/>
    </row>
    <row r="42" spans="1:26" ht="25.9" customHeight="1">
      <c r="A42" s="1162">
        <f t="shared" si="49"/>
        <v>34</v>
      </c>
      <c r="B42" s="1163" t="s">
        <v>667</v>
      </c>
      <c r="C42" s="1163" t="s">
        <v>4062</v>
      </c>
      <c r="D42" s="1164" t="s">
        <v>4107</v>
      </c>
      <c r="E42" s="1152"/>
      <c r="F42" s="1152">
        <v>1</v>
      </c>
      <c r="G42" s="1153">
        <f t="shared" si="50"/>
        <v>1</v>
      </c>
      <c r="H42" s="1152"/>
      <c r="I42" s="1163"/>
      <c r="J42" s="1164"/>
      <c r="K42" s="1163"/>
      <c r="L42" s="1163"/>
      <c r="M42" s="1163">
        <v>0</v>
      </c>
      <c r="N42" s="1163" t="s">
        <v>4126</v>
      </c>
      <c r="O42" s="1165" t="s">
        <v>4063</v>
      </c>
      <c r="P42" s="1166">
        <v>5000</v>
      </c>
      <c r="Q42" s="1166"/>
      <c r="R42" s="1167">
        <f>Info!E24</f>
        <v>1.4696096058858786E-6</v>
      </c>
      <c r="S42" s="1168"/>
      <c r="T42" s="1169">
        <f t="shared" si="11"/>
        <v>0.8</v>
      </c>
      <c r="U42" s="1170" cm="1">
        <f t="array" ref="U42">EBOM_Factor</f>
        <v>0.4114139401538276</v>
      </c>
      <c r="V42" s="1170">
        <f t="shared" si="0"/>
        <v>4.8369430275633848E-7</v>
      </c>
      <c r="W42" s="1171">
        <f t="shared" si="51"/>
        <v>0</v>
      </c>
      <c r="X42" s="1171">
        <f t="shared" si="52"/>
        <v>4.8369430275633848E-7</v>
      </c>
      <c r="Y42" s="1171">
        <f t="shared" si="53"/>
        <v>4.8369430275633848E-7</v>
      </c>
      <c r="Z42" s="1173"/>
    </row>
    <row r="43" spans="1:26" ht="25.9" customHeight="1">
      <c r="A43" s="1162">
        <f t="shared" si="49"/>
        <v>35</v>
      </c>
      <c r="B43" s="1163"/>
      <c r="C43" s="1163"/>
      <c r="D43" s="1163"/>
      <c r="E43" s="1152"/>
      <c r="F43" s="1152"/>
      <c r="G43" s="1153">
        <f t="shared" si="50"/>
        <v>0</v>
      </c>
      <c r="H43" s="1152"/>
      <c r="I43" s="1163"/>
      <c r="J43" s="1164"/>
      <c r="K43" s="1163"/>
      <c r="L43" s="1163"/>
      <c r="M43" s="1163"/>
      <c r="N43" s="1163"/>
      <c r="O43" s="1165"/>
      <c r="P43" s="1166"/>
      <c r="Q43" s="1166"/>
      <c r="R43" s="1167"/>
      <c r="S43" s="1168"/>
      <c r="T43" s="1169">
        <f t="shared" si="11"/>
        <v>0.8</v>
      </c>
      <c r="U43" s="1170" cm="1">
        <f t="array" ref="U43">EBOM_Factor</f>
        <v>0</v>
      </c>
      <c r="V43" s="1170">
        <f t="shared" si="0"/>
        <v>0</v>
      </c>
      <c r="W43" s="1171">
        <f t="shared" si="51"/>
        <v>0</v>
      </c>
      <c r="X43" s="1171">
        <f t="shared" si="52"/>
        <v>0</v>
      </c>
      <c r="Y43" s="1171">
        <f t="shared" si="53"/>
        <v>0</v>
      </c>
      <c r="Z43" s="1173"/>
    </row>
    <row r="44" spans="1:26" ht="25.9" customHeight="1">
      <c r="A44" s="1162">
        <f t="shared" si="49"/>
        <v>36</v>
      </c>
      <c r="B44" s="1163"/>
      <c r="C44" s="1163"/>
      <c r="D44" s="1163"/>
      <c r="E44" s="1152"/>
      <c r="F44" s="1152"/>
      <c r="G44" s="1153">
        <f t="shared" si="50"/>
        <v>0</v>
      </c>
      <c r="H44" s="1152"/>
      <c r="I44" s="1163"/>
      <c r="J44" s="1164"/>
      <c r="K44" s="1163"/>
      <c r="L44" s="1163"/>
      <c r="M44" s="1163"/>
      <c r="N44" s="1163"/>
      <c r="O44" s="1165"/>
      <c r="P44" s="1166"/>
      <c r="Q44" s="1166"/>
      <c r="R44" s="1167"/>
      <c r="S44" s="1168"/>
      <c r="T44" s="1169">
        <f t="shared" si="11"/>
        <v>0.8</v>
      </c>
      <c r="U44" s="1170" cm="1">
        <f t="array" ref="U44">EBOM_Factor</f>
        <v>0</v>
      </c>
      <c r="V44" s="1170">
        <f t="shared" si="0"/>
        <v>0</v>
      </c>
      <c r="W44" s="1171">
        <f t="shared" si="51"/>
        <v>0</v>
      </c>
      <c r="X44" s="1171">
        <f t="shared" si="52"/>
        <v>0</v>
      </c>
      <c r="Y44" s="1171">
        <f t="shared" si="53"/>
        <v>0</v>
      </c>
      <c r="Z44" s="1173"/>
    </row>
    <row r="45" spans="1:26" ht="25.9" customHeight="1">
      <c r="A45" s="1162">
        <f t="shared" si="49"/>
        <v>37</v>
      </c>
      <c r="B45" s="1163"/>
      <c r="C45" s="1163"/>
      <c r="D45" s="1163"/>
      <c r="E45" s="1152"/>
      <c r="F45" s="1152"/>
      <c r="G45" s="1153">
        <f t="shared" si="50"/>
        <v>0</v>
      </c>
      <c r="H45" s="1152"/>
      <c r="I45" s="1163"/>
      <c r="J45" s="1164"/>
      <c r="K45" s="1163"/>
      <c r="L45" s="1163"/>
      <c r="M45" s="1163"/>
      <c r="N45" s="1163"/>
      <c r="O45" s="1165"/>
      <c r="P45" s="1166"/>
      <c r="Q45" s="1166"/>
      <c r="R45" s="1167"/>
      <c r="S45" s="1168"/>
      <c r="T45" s="1169">
        <f t="shared" si="11"/>
        <v>0.8</v>
      </c>
      <c r="U45" s="1170" cm="1">
        <f t="array" ref="U45">EBOM_Factor</f>
        <v>0</v>
      </c>
      <c r="V45" s="1170">
        <f t="shared" si="0"/>
        <v>0</v>
      </c>
      <c r="W45" s="1171">
        <f t="shared" si="51"/>
        <v>0</v>
      </c>
      <c r="X45" s="1171">
        <f t="shared" si="52"/>
        <v>0</v>
      </c>
      <c r="Y45" s="1171">
        <f t="shared" si="53"/>
        <v>0</v>
      </c>
      <c r="Z45" s="1173"/>
    </row>
    <row r="46" spans="1:26" ht="25.9" customHeight="1">
      <c r="A46" s="1176"/>
      <c r="B46" s="1177" t="s">
        <v>3532</v>
      </c>
      <c r="C46" s="1177"/>
      <c r="D46" s="1177"/>
      <c r="E46" s="1177"/>
      <c r="F46" s="1177"/>
      <c r="G46" s="1177"/>
      <c r="H46" s="1177"/>
      <c r="I46" s="1177"/>
      <c r="J46" s="1177"/>
      <c r="K46" s="1177"/>
      <c r="L46" s="1177"/>
      <c r="M46" s="1177"/>
      <c r="N46" s="1177"/>
      <c r="O46" s="1177"/>
      <c r="P46" s="1177"/>
      <c r="Q46" s="1177"/>
      <c r="R46" s="1178">
        <f>SUM(R6:R45)</f>
        <v>33.762781837012021</v>
      </c>
      <c r="S46" s="1177"/>
      <c r="T46" s="1177"/>
      <c r="U46" s="1179"/>
      <c r="V46" s="1179"/>
      <c r="W46" s="1179">
        <f>SUM(EBOM44[Price Top Side])</f>
        <v>9.1807022429520355</v>
      </c>
      <c r="X46" s="1179">
        <f>SUM(EBOM44[Price Bottom Side])</f>
        <v>0.28666752095894815</v>
      </c>
      <c r="Y46" s="1179">
        <f>SUM(EBOM44[Total Price])</f>
        <v>9.7486676096252687</v>
      </c>
      <c r="Z46" s="1179"/>
    </row>
    <row r="47" spans="1:26" ht="25.9" customHeight="1"/>
    <row r="48" spans="1:26" ht="25.9" customHeight="1" thickBot="1">
      <c r="E48" s="1180"/>
      <c r="F48" s="1180"/>
      <c r="G48" s="1180"/>
      <c r="H48" s="1322" t="s">
        <v>3524</v>
      </c>
      <c r="I48" s="1322"/>
      <c r="K48" s="1322" t="s">
        <v>3525</v>
      </c>
      <c r="L48" s="1322"/>
      <c r="N48" s="1180"/>
      <c r="P48" s="1180"/>
      <c r="Q48" s="1180"/>
      <c r="R48" s="1181"/>
      <c r="S48" s="1182"/>
      <c r="T48" s="1182"/>
      <c r="U48" s="1183"/>
      <c r="V48" s="1184"/>
      <c r="X48" s="1180"/>
    </row>
    <row r="49" spans="5:24" ht="25.9" customHeight="1">
      <c r="E49" s="1180"/>
      <c r="F49" s="1180"/>
      <c r="G49" s="1180"/>
      <c r="H49" s="1185" t="s">
        <v>3486</v>
      </c>
      <c r="I49" s="1186">
        <f>SUMIF(EBOM44[SMD/THT],"SMD",EBOM44[Quantity 
Top Side])</f>
        <v>101</v>
      </c>
      <c r="K49" s="1185" t="s">
        <v>3486</v>
      </c>
      <c r="L49" s="1186">
        <f>SUMIF(EBOM44[SMD/THT],"SMD",EBOM44[Quantity 
Bottom Side])</f>
        <v>74</v>
      </c>
      <c r="N49" s="1180"/>
      <c r="R49" s="1181"/>
      <c r="S49" s="1182"/>
      <c r="T49" s="1182"/>
      <c r="U49" s="1183"/>
      <c r="V49" s="1184"/>
      <c r="W49" s="1183"/>
      <c r="X49" s="1180"/>
    </row>
    <row r="50" spans="5:24" ht="25.9" customHeight="1">
      <c r="E50" s="1180"/>
      <c r="F50" s="1180"/>
      <c r="G50" s="1180"/>
      <c r="H50" s="1187" t="s">
        <v>3493</v>
      </c>
      <c r="I50" s="1188">
        <f>SUMIF(EBOM44[SMD/THT],"THT-radial",EBOM44[Quantity 
Top Side])</f>
        <v>0</v>
      </c>
      <c r="K50" s="1187" t="s">
        <v>3493</v>
      </c>
      <c r="L50" s="1188">
        <f>SUMIF(EBOM44[SMD/THT],"THT-radial",EBOM44[Quantity 
Bottom Side])</f>
        <v>0</v>
      </c>
      <c r="N50" s="1180"/>
      <c r="R50" s="1181"/>
      <c r="S50" s="1182"/>
      <c r="T50" s="1182"/>
      <c r="U50" s="1183"/>
      <c r="V50" s="1184"/>
      <c r="W50" s="1183"/>
      <c r="X50" s="1180"/>
    </row>
    <row r="51" spans="5:24" ht="25.9" customHeight="1">
      <c r="E51" s="1180"/>
      <c r="F51" s="1180"/>
      <c r="G51" s="1180"/>
      <c r="H51" s="1187" t="s">
        <v>3494</v>
      </c>
      <c r="I51" s="1188">
        <f>SUMIF(EBOM44[SMD/THT],"THT-axial",EBOM44[Quantity 
Top Side])</f>
        <v>0</v>
      </c>
      <c r="K51" s="1187" t="s">
        <v>3494</v>
      </c>
      <c r="L51" s="1188">
        <f>SUMIF(EBOM44[SMD/THT],"THT-axial",EBOM44[Quantity 
Bottom Side])</f>
        <v>0</v>
      </c>
      <c r="N51" s="1180"/>
      <c r="R51" s="1181"/>
      <c r="S51" s="1182"/>
      <c r="T51" s="1182"/>
      <c r="U51" s="1183"/>
      <c r="V51" s="1184"/>
      <c r="W51" s="1183"/>
      <c r="X51" s="1180"/>
    </row>
    <row r="52" spans="5:24" ht="25.9" customHeight="1" thickBot="1">
      <c r="E52" s="1180"/>
      <c r="F52" s="1180"/>
      <c r="G52" s="1180"/>
      <c r="H52" s="1189" t="s">
        <v>3543</v>
      </c>
      <c r="I52" s="1190">
        <f>SUMIF(EBOM44[SMD/THT],H52,EBOM44[Quantity 
Top Side])</f>
        <v>0</v>
      </c>
      <c r="K52" s="1189" t="s">
        <v>3543</v>
      </c>
      <c r="L52" s="1190">
        <f>SUMIF(EBOM44[SMD/THT],K52,EBOM44[Quantity 
Bottom Side])</f>
        <v>0</v>
      </c>
      <c r="N52" s="1180"/>
      <c r="R52" s="1181"/>
      <c r="S52" s="1182"/>
      <c r="T52" s="1182"/>
      <c r="U52" s="1183"/>
      <c r="V52" s="1184"/>
      <c r="W52" s="1183"/>
      <c r="X52" s="1180"/>
    </row>
    <row r="53" spans="5:24" ht="25.9" customHeight="1" thickBot="1"/>
    <row r="54" spans="5:24" ht="25.9" customHeight="1">
      <c r="H54" s="1191" t="s">
        <v>4008</v>
      </c>
      <c r="I54" s="1192" t="str">
        <f>H48</f>
        <v>TOP SIDE</v>
      </c>
      <c r="J54" s="1193" t="str">
        <f>K48</f>
        <v>BOTTOM SIDE</v>
      </c>
    </row>
    <row r="55" spans="5:24" ht="25.9" customHeight="1">
      <c r="H55" s="1194" t="str">
        <f>C86</f>
        <v>Resistor</v>
      </c>
      <c r="I55" s="1152">
        <f>SUMIFS(EBOM44[Quantity 
Top Side],EBOM44[SMD/THT],"SMD",EBOM44[Type],H55)</f>
        <v>37</v>
      </c>
      <c r="J55" s="1195">
        <f>SUMIFS(EBOM44[Quantity 
Bottom Side],EBOM44[SMD/THT],"SMD",EBOM44[Type],H55)</f>
        <v>18</v>
      </c>
    </row>
    <row r="56" spans="5:24" ht="25.9" customHeight="1">
      <c r="H56" s="1194" t="str">
        <f>C84</f>
        <v>Capacitor</v>
      </c>
      <c r="I56" s="1152">
        <f>SUMIFS(EBOM44[Quantity 
Top Side],EBOM44[SMD/THT],"SMD",EBOM44[Type],H56)</f>
        <v>42</v>
      </c>
      <c r="J56" s="1195">
        <f>SUMIFS(EBOM44[Quantity 
Bottom Side],EBOM44[SMD/THT],"SMD",EBOM44[Type],H56)</f>
        <v>50</v>
      </c>
    </row>
    <row r="57" spans="5:24" ht="25.9" customHeight="1">
      <c r="H57" s="1194" t="s">
        <v>3545</v>
      </c>
      <c r="I57" s="1152">
        <f>IF((SUMIFS(EBOM44[Quantity 
Top Side],EBOM44[SMD/THT],"SMD",EBOM44[Source],"Shortlist")+SUMIFS(EBOM44[Quantity 
Top Side],EBOM44[SMD/THT],"SMD",EBOM44[Source],"Standard")-I55-I56)&lt;0,"Tabellenspalte 'Link' ausfüllen",SUMIFS(EBOM44[Quantity 
Top Side],EBOM44[SMD/THT],"SMD",EBOM44[Source],"Shortlist")+SUMIFS(EBOM44[Quantity 
Top Side],EBOM44[SMD/THT],"SMD",EBOM44[Source],"Standard")-I55-I56)</f>
        <v>9</v>
      </c>
      <c r="J57" s="1195">
        <f>IF((SUMIFS(EBOM44[Quantity 
Bottom Side],EBOM44[SMD/THT],"SMD",EBOM44[Source],"Shortlist")+SUMIFS(EBOM44[Quantity 
Bottom Side],EBOM44[SMD/THT],"SMD",EBOM44[Source],"Standard")-J55-J56)&lt;0,"Tabellenspalte 'Link' ausfüllen",SUMIFS(EBOM44[Quantity 
Bottom Side],EBOM44[SMD/THT],"SMD",EBOM44[Source],"Shortlist")+SUMIFS(EBOM44[Quantity 
Bottom Side],EBOM44[SMD/THT],"SMD",EBOM44[Source],"Standard")-J55-J56)</f>
        <v>6</v>
      </c>
    </row>
    <row r="58" spans="5:24" ht="25.9" customHeight="1">
      <c r="H58" s="1194" t="s">
        <v>3546</v>
      </c>
      <c r="I58" s="1152">
        <f>I49-I55-I56-I57-I59</f>
        <v>7</v>
      </c>
      <c r="J58" s="1195">
        <f>L49-J55-J56-J57-J59</f>
        <v>0</v>
      </c>
    </row>
    <row r="59" spans="5:24" ht="25.9" customHeight="1" thickBot="1">
      <c r="H59" s="1196" t="s">
        <v>3547</v>
      </c>
      <c r="I59" s="1197">
        <f>I60+I61</f>
        <v>6</v>
      </c>
      <c r="J59" s="1198"/>
    </row>
    <row r="60" spans="5:24" ht="25.9" customHeight="1">
      <c r="H60" s="1199" t="s">
        <v>3499</v>
      </c>
      <c r="I60" s="1200">
        <f>SUMIFS(EBOM44[Quantity 
Top Side],EBOM44[Group],H60,EBOM44[SMD/THT],"SMD")</f>
        <v>2</v>
      </c>
      <c r="J60" s="1201">
        <f>SUMIFS(EBOM44[Quantity 
Bottom Side],EBOM44[SMD/THT],"SMD",EBOM44[Group],H60)</f>
        <v>0</v>
      </c>
    </row>
    <row r="61" spans="5:24" ht="25.9" customHeight="1">
      <c r="H61" s="1202" t="s">
        <v>3535</v>
      </c>
      <c r="I61" s="1203">
        <f>SUMIFS(EBOM44[Quantity 
Top Side],EBOM44[Group],H61,EBOM44[SMD/THT],"SMD")</f>
        <v>4</v>
      </c>
      <c r="J61" s="1204">
        <f>SUMIFS(EBOM44[Quantity 
Bottom Side],EBOM44[SMD/THT],"SMD",EBOM44[Group],H61)</f>
        <v>0</v>
      </c>
    </row>
    <row r="62" spans="5:24" ht="25.9" customHeight="1"/>
    <row r="63" spans="5:24" ht="25.9" customHeight="1"/>
    <row r="64" spans="5:24" ht="25.9" customHeight="1"/>
    <row r="65" spans="1:11" ht="25.9" customHeight="1"/>
    <row r="66" spans="1:11" ht="25.9" customHeight="1"/>
    <row r="67" spans="1:11" ht="25.9" hidden="1" customHeight="1" thickBot="1">
      <c r="A67" s="1205" t="s">
        <v>4009</v>
      </c>
      <c r="B67" s="1206"/>
      <c r="C67" s="1206"/>
      <c r="D67" s="1206"/>
      <c r="E67" s="1206"/>
      <c r="F67" s="1206"/>
      <c r="G67" s="1206"/>
      <c r="H67" s="1206"/>
      <c r="I67" s="1206"/>
      <c r="J67" s="1206"/>
      <c r="K67" s="1207"/>
    </row>
    <row r="68" spans="1:11" ht="25.9" hidden="1" customHeight="1">
      <c r="A68" s="1208" t="s">
        <v>4009</v>
      </c>
      <c r="H68" s="1191" t="s">
        <v>4008</v>
      </c>
      <c r="I68" s="1192" t="str">
        <f>H48</f>
        <v>TOP SIDE</v>
      </c>
      <c r="J68" s="1193" t="str">
        <f>K48</f>
        <v>BOTTOM SIDE</v>
      </c>
      <c r="K68" s="1201"/>
    </row>
    <row r="69" spans="1:11" ht="25.9" hidden="1" customHeight="1">
      <c r="A69" s="1208" t="s">
        <v>4009</v>
      </c>
      <c r="H69" s="1194" t="s">
        <v>3555</v>
      </c>
      <c r="I69" s="1152">
        <f>SUMIFS(EBOM44[Quantity 
Top Side],EBOM44[SMD/THT],"SMD",EBOM44[Type],H69)</f>
        <v>37</v>
      </c>
      <c r="J69" s="1195">
        <f>SUMIFS(EBOM44[Quantity 
Bottom Side],EBOM44[SMD/THT],"SMD",EBOM44[Type],"Widerstand")</f>
        <v>0</v>
      </c>
      <c r="K69" s="1201"/>
    </row>
    <row r="70" spans="1:11" ht="25.9" hidden="1" customHeight="1">
      <c r="A70" s="1208" t="s">
        <v>4009</v>
      </c>
      <c r="H70" s="1194" t="s">
        <v>3553</v>
      </c>
      <c r="I70" s="1152">
        <f>SUMIFS(EBOM44[Quantity 
Top Side],EBOM44[SMD/THT],"SMD",EBOM44[Type],H70)</f>
        <v>42</v>
      </c>
      <c r="J70" s="1195">
        <f>SUMIFS(EBOM44[Quantity 
Bottom Side],EBOM44[SMD/THT],"SMD",EBOM44[Type],"Kondensator")</f>
        <v>0</v>
      </c>
      <c r="K70" s="1201"/>
    </row>
    <row r="71" spans="1:11" ht="25.9" hidden="1" customHeight="1">
      <c r="A71" s="1208" t="s">
        <v>4009</v>
      </c>
      <c r="H71" s="1194" t="s">
        <v>3545</v>
      </c>
      <c r="I71" s="1152">
        <f>SUMIFS(EBOM44[Quantity 
Top Side],EBOM44[SMD/THT],"SMD",EBOM44[Source],"Shortlist")+SUMIFS(EBOM44[Quantity 
Top Side],EBOM44[SMD/THT],"SMD",EBOM44[Source],"Standard")-I70-I69</f>
        <v>9</v>
      </c>
      <c r="J71" s="1195">
        <f>SUMIFS(EBOM44[Quantity 
Bottom Side],EBOM44[SMD/THT],"SMD",EBOM44[Source],"Standard")-J70-J69</f>
        <v>74</v>
      </c>
      <c r="K71" s="1201"/>
    </row>
    <row r="72" spans="1:11" ht="25.9" hidden="1" customHeight="1">
      <c r="A72" s="1208" t="s">
        <v>4009</v>
      </c>
      <c r="H72" s="1194" t="s">
        <v>3546</v>
      </c>
      <c r="I72" s="1152">
        <f>I49-I69-I70-I71-I73</f>
        <v>7</v>
      </c>
      <c r="J72" s="1195">
        <f>L49-J69-J70-J71-J73</f>
        <v>0</v>
      </c>
      <c r="K72" s="1201"/>
    </row>
    <row r="73" spans="1:11" ht="25.9" hidden="1" customHeight="1" thickBot="1">
      <c r="A73" s="1208" t="s">
        <v>4009</v>
      </c>
      <c r="H73" s="1196" t="s">
        <v>3547</v>
      </c>
      <c r="I73" s="1197">
        <f>I74+I75</f>
        <v>6</v>
      </c>
      <c r="J73" s="1198">
        <f>J74+J75</f>
        <v>0</v>
      </c>
      <c r="K73" s="1201"/>
    </row>
    <row r="74" spans="1:11" ht="25.9" hidden="1" customHeight="1">
      <c r="A74" s="1208" t="s">
        <v>4009</v>
      </c>
      <c r="H74" s="1199" t="s">
        <v>3499</v>
      </c>
      <c r="I74" s="1144">
        <f>SUMIFS(EBOM44[Quantity 
Top Side],EBOM44[SMD/THT],"SMD",EBOM44[Group],H74)</f>
        <v>2</v>
      </c>
      <c r="J74" s="1201">
        <f>SUMIFS(EBOM44[Quantity 
Bottom Side],EBOM44[SMD/THT],"SMD",EBOM44[Group],H74)</f>
        <v>0</v>
      </c>
      <c r="K74" s="1201"/>
    </row>
    <row r="75" spans="1:11" ht="25.9" hidden="1" customHeight="1">
      <c r="A75" s="1208" t="s">
        <v>4009</v>
      </c>
      <c r="H75" s="1202" t="s">
        <v>3535</v>
      </c>
      <c r="I75" s="1209">
        <f>SUMIFS(EBOM44[Quantity 
Top Side],EBOM44[SMD/THT],"SMD",EBOM44[Group],H75)</f>
        <v>4</v>
      </c>
      <c r="J75" s="1204">
        <f>SUMIFS(EBOM44[Quantity 
Bottom Side],EBOM44[SMD/THT],"SMD",EBOM44[Group],H75)</f>
        <v>0</v>
      </c>
      <c r="K75" s="1201"/>
    </row>
    <row r="76" spans="1:11" ht="25.9" hidden="1" customHeight="1">
      <c r="A76" s="1208" t="s">
        <v>4009</v>
      </c>
      <c r="K76" s="1201"/>
    </row>
    <row r="77" spans="1:11" ht="25.9" hidden="1" customHeight="1">
      <c r="A77" s="1208" t="s">
        <v>4009</v>
      </c>
      <c r="K77" s="1201"/>
    </row>
    <row r="78" spans="1:11" ht="25.9" hidden="1" customHeight="1">
      <c r="A78" s="1208" t="s">
        <v>4009</v>
      </c>
      <c r="K78" s="1201"/>
    </row>
    <row r="79" spans="1:11" ht="25.9" hidden="1" customHeight="1">
      <c r="A79" s="1208" t="s">
        <v>4009</v>
      </c>
      <c r="K79" s="1201"/>
    </row>
    <row r="80" spans="1:11" ht="25.9" hidden="1" customHeight="1">
      <c r="A80" s="1208" t="s">
        <v>4009</v>
      </c>
      <c r="K80" s="1201"/>
    </row>
    <row r="81" spans="1:20" ht="25.9" hidden="1" customHeight="1">
      <c r="A81" s="1208" t="s">
        <v>4009</v>
      </c>
      <c r="B81" s="1323" t="s">
        <v>4010</v>
      </c>
      <c r="C81" s="1324"/>
      <c r="K81" s="1201"/>
    </row>
    <row r="82" spans="1:20" ht="25.9" hidden="1" customHeight="1">
      <c r="A82" s="1208" t="s">
        <v>4009</v>
      </c>
      <c r="B82" s="1211" t="s">
        <v>4011</v>
      </c>
      <c r="C82" s="1212" t="s">
        <v>3509</v>
      </c>
      <c r="D82" s="1211" t="s">
        <v>3467</v>
      </c>
      <c r="F82" s="1212" t="s">
        <v>3553</v>
      </c>
      <c r="G82" s="1212" t="s">
        <v>3555</v>
      </c>
      <c r="H82" s="1212" t="s">
        <v>3490</v>
      </c>
      <c r="I82" s="1212" t="s">
        <v>3552</v>
      </c>
      <c r="J82" s="1212" t="s">
        <v>3554</v>
      </c>
      <c r="K82" s="1201"/>
      <c r="Q82" s="1213"/>
      <c r="T82" s="1144"/>
    </row>
    <row r="83" spans="1:20" ht="25.9" hidden="1" customHeight="1">
      <c r="A83" s="1208" t="s">
        <v>4009</v>
      </c>
      <c r="B83" s="1214" t="s">
        <v>3533</v>
      </c>
      <c r="C83" s="1144" t="s">
        <v>3552</v>
      </c>
      <c r="D83" s="1214" t="s">
        <v>3486</v>
      </c>
      <c r="F83" s="1144" t="s">
        <v>4012</v>
      </c>
      <c r="G83" s="1210" t="s">
        <v>4012</v>
      </c>
      <c r="H83" s="1144" t="s">
        <v>4013</v>
      </c>
      <c r="I83" s="1144" t="s">
        <v>4012</v>
      </c>
      <c r="J83" s="1144" t="s">
        <v>4012</v>
      </c>
      <c r="K83" s="1201"/>
      <c r="Q83" s="1213"/>
      <c r="T83" s="1144"/>
    </row>
    <row r="84" spans="1:20" ht="25.9" hidden="1" customHeight="1">
      <c r="A84" s="1208" t="s">
        <v>4009</v>
      </c>
      <c r="B84" s="1214" t="s">
        <v>3534</v>
      </c>
      <c r="C84" s="1144" t="s">
        <v>3553</v>
      </c>
      <c r="D84" s="1214" t="s">
        <v>3493</v>
      </c>
      <c r="F84" s="1144" t="s">
        <v>4014</v>
      </c>
      <c r="G84" s="1210" t="s">
        <v>4014</v>
      </c>
      <c r="H84" s="1144" t="s">
        <v>4015</v>
      </c>
      <c r="I84" s="1144" t="s">
        <v>4014</v>
      </c>
      <c r="J84" s="1144" t="s">
        <v>4014</v>
      </c>
      <c r="K84" s="1201"/>
      <c r="Q84" s="1213"/>
      <c r="T84" s="1144"/>
    </row>
    <row r="85" spans="1:20" ht="25.9" hidden="1" customHeight="1">
      <c r="A85" s="1208" t="s">
        <v>4009</v>
      </c>
      <c r="B85" s="1214" t="s">
        <v>3499</v>
      </c>
      <c r="C85" s="1144" t="s">
        <v>3554</v>
      </c>
      <c r="D85" s="1214" t="s">
        <v>3494</v>
      </c>
      <c r="F85" s="1144" t="s">
        <v>4016</v>
      </c>
      <c r="G85" s="1210" t="s">
        <v>4016</v>
      </c>
      <c r="H85" s="1144" t="s">
        <v>4017</v>
      </c>
      <c r="I85" s="1144" t="s">
        <v>4016</v>
      </c>
      <c r="J85" s="1144" t="s">
        <v>4016</v>
      </c>
      <c r="K85" s="1201"/>
      <c r="Q85" s="1213"/>
      <c r="T85" s="1144"/>
    </row>
    <row r="86" spans="1:20" ht="25.9" hidden="1" customHeight="1">
      <c r="A86" s="1208" t="s">
        <v>4009</v>
      </c>
      <c r="B86" s="1214" t="s">
        <v>3559</v>
      </c>
      <c r="C86" s="1144" t="s">
        <v>3555</v>
      </c>
      <c r="D86" s="1214" t="s">
        <v>3543</v>
      </c>
      <c r="F86" s="1144" t="s">
        <v>4018</v>
      </c>
      <c r="G86" s="1210" t="s">
        <v>4018</v>
      </c>
      <c r="H86" s="1144" t="s">
        <v>4019</v>
      </c>
      <c r="I86" s="1144" t="s">
        <v>4018</v>
      </c>
      <c r="J86" s="1144" t="s">
        <v>4018</v>
      </c>
      <c r="K86" s="1201"/>
      <c r="Q86" s="1213"/>
      <c r="T86" s="1144"/>
    </row>
    <row r="87" spans="1:20" ht="25.9" hidden="1" customHeight="1">
      <c r="A87" s="1208" t="s">
        <v>4009</v>
      </c>
      <c r="B87" s="1214" t="s">
        <v>3535</v>
      </c>
      <c r="C87" s="1144" t="s">
        <v>3490</v>
      </c>
      <c r="D87" s="1214"/>
      <c r="F87" s="1144" t="s">
        <v>4020</v>
      </c>
      <c r="G87" s="1210" t="s">
        <v>4020</v>
      </c>
      <c r="H87" s="1144" t="s">
        <v>4021</v>
      </c>
      <c r="K87" s="1201"/>
      <c r="Q87" s="1213"/>
      <c r="T87" s="1144"/>
    </row>
    <row r="88" spans="1:20" ht="25.9" hidden="1" customHeight="1">
      <c r="A88" s="1208" t="s">
        <v>4009</v>
      </c>
      <c r="B88" s="1214" t="s">
        <v>3536</v>
      </c>
      <c r="C88" s="1144" t="s">
        <v>3556</v>
      </c>
      <c r="D88" s="1214"/>
      <c r="G88" s="1210" t="s">
        <v>4022</v>
      </c>
      <c r="H88" s="1144" t="s">
        <v>4023</v>
      </c>
      <c r="K88" s="1201"/>
      <c r="Q88" s="1213"/>
      <c r="T88" s="1144"/>
    </row>
    <row r="89" spans="1:20" ht="25.9" hidden="1" customHeight="1">
      <c r="A89" s="1208" t="s">
        <v>4009</v>
      </c>
      <c r="B89" s="1214" t="s">
        <v>3537</v>
      </c>
      <c r="C89" s="1144" t="s">
        <v>3557</v>
      </c>
      <c r="D89" s="1214"/>
      <c r="G89" s="1210" t="s">
        <v>4024</v>
      </c>
      <c r="H89" s="1144" t="s">
        <v>4025</v>
      </c>
      <c r="K89" s="1201"/>
      <c r="Q89" s="1213"/>
      <c r="T89" s="1144"/>
    </row>
    <row r="90" spans="1:20" ht="25.9" hidden="1" customHeight="1">
      <c r="A90" s="1208" t="s">
        <v>4009</v>
      </c>
      <c r="B90" s="1214" t="s">
        <v>3506</v>
      </c>
      <c r="C90" s="1144" t="s">
        <v>3558</v>
      </c>
      <c r="D90" s="1214"/>
      <c r="H90" s="1144" t="s">
        <v>4026</v>
      </c>
      <c r="K90" s="1201"/>
      <c r="Q90" s="1213"/>
      <c r="T90" s="1144"/>
    </row>
    <row r="91" spans="1:20" ht="25.9" hidden="1" customHeight="1">
      <c r="A91" s="1208" t="s">
        <v>4009</v>
      </c>
      <c r="B91" s="1215" t="s">
        <v>667</v>
      </c>
      <c r="C91" s="1144" t="s">
        <v>3559</v>
      </c>
      <c r="D91" s="1215"/>
      <c r="H91" s="1144" t="s">
        <v>4028</v>
      </c>
      <c r="K91" s="1201"/>
      <c r="Q91" s="1213"/>
      <c r="T91" s="1144"/>
    </row>
    <row r="92" spans="1:20" ht="25.9" hidden="1" customHeight="1">
      <c r="A92" s="1208" t="s">
        <v>4009</v>
      </c>
      <c r="H92" s="1144" t="s">
        <v>4029</v>
      </c>
      <c r="K92" s="1201"/>
      <c r="Q92" s="1213"/>
      <c r="T92" s="1144"/>
    </row>
    <row r="93" spans="1:20" ht="25.9" hidden="1" customHeight="1">
      <c r="A93" s="1208" t="s">
        <v>4009</v>
      </c>
      <c r="B93" s="1144" t="s">
        <v>54</v>
      </c>
      <c r="C93" s="1144" t="str">
        <f>IF(Language="EN","Please enter price","Bitte Preis eintragen")</f>
        <v>Please enter price</v>
      </c>
      <c r="H93" s="1144" t="s">
        <v>4030</v>
      </c>
      <c r="K93" s="1201"/>
      <c r="Q93" s="1213"/>
      <c r="T93" s="1144"/>
    </row>
    <row r="94" spans="1:20" ht="25.9" hidden="1" customHeight="1">
      <c r="A94" s="1208" t="s">
        <v>4009</v>
      </c>
      <c r="H94" s="1144" t="s">
        <v>4031</v>
      </c>
      <c r="K94" s="1201"/>
      <c r="Q94" s="1213"/>
      <c r="T94" s="1144"/>
    </row>
    <row r="95" spans="1:20" ht="25.9" hidden="1" customHeight="1">
      <c r="A95" s="1208" t="s">
        <v>4009</v>
      </c>
      <c r="H95" s="1144" t="s">
        <v>4032</v>
      </c>
      <c r="K95" s="1201"/>
      <c r="Q95" s="1213"/>
      <c r="T95" s="1144"/>
    </row>
    <row r="96" spans="1:20" ht="25.9" hidden="1" customHeight="1">
      <c r="A96" s="1216" t="s">
        <v>4009</v>
      </c>
      <c r="B96" s="1209"/>
      <c r="C96" s="1209"/>
      <c r="D96" s="1209"/>
      <c r="E96" s="1209"/>
      <c r="F96" s="1209"/>
      <c r="G96" s="1209"/>
      <c r="H96" s="1209"/>
      <c r="I96" s="1209"/>
      <c r="J96" s="1209"/>
      <c r="K96" s="1204"/>
      <c r="Q96" s="1213"/>
      <c r="T96" s="1144"/>
    </row>
    <row r="97" ht="25.9" customHeight="1"/>
    <row r="98" ht="25.9" customHeight="1"/>
    <row r="99" ht="25.9" customHeight="1"/>
    <row r="100" ht="25.9" customHeight="1"/>
  </sheetData>
  <mergeCells count="4">
    <mergeCell ref="U2:U3"/>
    <mergeCell ref="H48:I48"/>
    <mergeCell ref="K48:L48"/>
    <mergeCell ref="B81:C81"/>
  </mergeCells>
  <conditionalFormatting sqref="R9:R10">
    <cfRule type="cellIs" dxfId="955" priority="11" operator="greaterThan">
      <formula>5</formula>
    </cfRule>
  </conditionalFormatting>
  <conditionalFormatting sqref="J3:L3">
    <cfRule type="cellIs" dxfId="954" priority="10" operator="equal">
      <formula>""</formula>
    </cfRule>
  </conditionalFormatting>
  <conditionalFormatting sqref="O7:O45">
    <cfRule type="cellIs" dxfId="953" priority="9" operator="equal">
      <formula>"[Link]"</formula>
    </cfRule>
  </conditionalFormatting>
  <conditionalFormatting sqref="H3">
    <cfRule type="cellIs" dxfId="952" priority="8" operator="equal">
      <formula>""</formula>
    </cfRule>
  </conditionalFormatting>
  <conditionalFormatting sqref="M7:M45">
    <cfRule type="expression" dxfId="951" priority="7">
      <formula>AND(NOT(ISBLANK(C7)),ISBLANK(M7))</formula>
    </cfRule>
  </conditionalFormatting>
  <conditionalFormatting sqref="R6">
    <cfRule type="cellIs" dxfId="950" priority="6" operator="greaterThan">
      <formula>5</formula>
    </cfRule>
  </conditionalFormatting>
  <conditionalFormatting sqref="O6">
    <cfRule type="cellIs" dxfId="949" priority="5" operator="equal">
      <formula>"[Link]"</formula>
    </cfRule>
  </conditionalFormatting>
  <conditionalFormatting sqref="M6">
    <cfRule type="expression" dxfId="948" priority="4">
      <formula>AND(NOT(ISBLANK(C6)),ISBLANK(M6))</formula>
    </cfRule>
  </conditionalFormatting>
  <conditionalFormatting sqref="W3">
    <cfRule type="cellIs" dxfId="947" priority="3" operator="equal">
      <formula>""</formula>
    </cfRule>
  </conditionalFormatting>
  <conditionalFormatting sqref="T3">
    <cfRule type="cellIs" dxfId="946" priority="2" operator="equal">
      <formula>""</formula>
    </cfRule>
  </conditionalFormatting>
  <dataValidations count="10">
    <dataValidation type="list" allowBlank="1" showInputMessage="1" showErrorMessage="1" sqref="B9:B32 B34:B45" xr:uid="{5B47A469-5A90-4829-8464-76BB97CE819B}">
      <formula1>$B$83:$B$91</formula1>
    </dataValidation>
    <dataValidation allowBlank="1" prompt="andere Eingaben möglich - im Dropdown sind die häufigsten aufgelistet" sqref="C6:C7" xr:uid="{548F77B3-88EB-4450-ADE3-3C9C1C07551B}"/>
    <dataValidation type="list" allowBlank="1" showInputMessage="1" showErrorMessage="1" sqref="H4" xr:uid="{696A191A-8517-4D37-BD88-AACB289296F2}">
      <formula1>"2-layers,4-layers,6-layers,8-layers,10-layers,12-layers"</formula1>
    </dataValidation>
    <dataValidation type="list" allowBlank="1" showInputMessage="1" showErrorMessage="1" sqref="G4 L3" xr:uid="{02EE3844-DDB8-473F-AEE4-93AE09A1E4A8}">
      <formula1>"Standard,HDI, HiFr,IMS (Aluminum)"</formula1>
    </dataValidation>
    <dataValidation type="list" allowBlank="1" showInputMessage="1" prompt="andere Eingaben möglich - im Dropdown sind die häufigsten aufgelistet" sqref="N6:N20 N31:N45 N28:N29" xr:uid="{19BD158D-219E-4997-B6D9-671B8E1353E9}">
      <formula1>IF(OR(C6=$F$82,C6=$G$82,C6=$H$82,C6=$I$82,C6=$J$82),INDIRECT("tbl_Code_housing["&amp;C6&amp;"]"),NA())</formula1>
    </dataValidation>
    <dataValidation type="list" allowBlank="1" showInputMessage="1" prompt="andere Eingaben möglich - im Dropdown sind die häufigsten aufgelistet" sqref="C8:C45" xr:uid="{AF479698-E6B9-4AD0-8C1A-FC4866363798}">
      <formula1>$C$83:$C$91</formula1>
    </dataValidation>
    <dataValidation type="list" errorStyle="warning" allowBlank="1" showInputMessage="1" showErrorMessage="1" sqref="H6:H45" xr:uid="{8D687E4A-60ED-4308-8465-F353B9156893}">
      <formula1>$D$83:$D$86</formula1>
    </dataValidation>
    <dataValidation type="list" allowBlank="1" sqref="O6:O45" xr:uid="{C5A37CB0-CE29-4768-BF3D-4F1515AD7422}">
      <formula1>"[Link],Standard,Shortlist"</formula1>
    </dataValidation>
    <dataValidation type="list" allowBlank="1" showInputMessage="1" prompt="andere Eingaben möglich - im Dropdown sind die häufigsten aufgelistet" sqref="N21:N22 N24" xr:uid="{F6E84F95-9895-477C-8E1C-DE65BD1EEDCE}">
      <formula1>IF(OR(C21=$F$97,C21=$G$97,C21=$H$97,C21=$I$97,C21=$J$97),INDIRECT("tbl_Code_housing["&amp;C21&amp;"]"),NA())</formula1>
    </dataValidation>
    <dataValidation type="list" allowBlank="1" showInputMessage="1" prompt="andere Eingaben möglich - im Dropdown sind die häufigsten aufgelistet" sqref="N23 N30 N25:N27" xr:uid="{5A57D101-B959-408A-A0A8-7AEA8569B28A}">
      <formula1>IF(OR(C23=$F$92,C23=$G$92,C23=$H$92,C23=$I$92,C23=$J$92),INDIRECT("tbl_Code_housing["&amp;C23&amp;"]"),NA())</formula1>
    </dataValidation>
  </dataValidations>
  <hyperlinks>
    <hyperlink ref="O25" r:id="rId1" xr:uid="{14F38944-1AA1-4C66-9DA7-A0F12FF68ACC}"/>
    <hyperlink ref="O31" r:id="rId2" xr:uid="{589C5377-FF89-4604-B359-51B43E306813}"/>
  </hyperlink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3"/>
  <headerFooter alignWithMargins="0">
    <oddFooter>Seite &amp;P von &amp;N</oddFooter>
  </headerFooter>
  <drawing r:id="rId4"/>
  <legacyDrawing r:id="rId5"/>
  <tableParts count="3">
    <tablePart r:id="rId6"/>
    <tablePart r:id="rId7"/>
    <tablePart r:id="rId8"/>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AEA3B-1FB5-4D48-99FD-B426CBE4D873}">
  <sheetPr codeName="Tabelle3">
    <outlinePr summaryBelow="0" summaryRight="0"/>
    <pageSetUpPr fitToPage="1"/>
  </sheetPr>
  <dimension ref="A1:AB77"/>
  <sheetViews>
    <sheetView showGridLines="0" showZeros="0" zoomScaleNormal="100" workbookViewId="0">
      <pane xSplit="6" ySplit="5" topLeftCell="O6" activePane="bottomRight" state="frozen"/>
      <selection pane="topRight" activeCell="G1" sqref="G1"/>
      <selection pane="bottomLeft" activeCell="A6" sqref="A6"/>
      <selection pane="bottomRight" activeCell="T1" sqref="T1:T1048576"/>
    </sheetView>
  </sheetViews>
  <sheetFormatPr baseColWidth="10" defaultColWidth="12.28515625" defaultRowHeight="11.25"/>
  <cols>
    <col min="1" max="1" width="6.28515625" style="1144" customWidth="1"/>
    <col min="2" max="3" width="17.28515625" style="1144" customWidth="1"/>
    <col min="4" max="4" width="25.42578125" style="1144" customWidth="1"/>
    <col min="5" max="7" width="11.7109375" style="1144" customWidth="1"/>
    <col min="8" max="12" width="22.85546875" style="1144" customWidth="1"/>
    <col min="13" max="13" width="26.7109375" style="1144" customWidth="1"/>
    <col min="14" max="14" width="27.42578125" style="1144" customWidth="1"/>
    <col min="15" max="15" width="28.28515625" style="1144" customWidth="1"/>
    <col min="16" max="16" width="21.28515625" style="1144" customWidth="1"/>
    <col min="17" max="17" width="21.28515625" style="1144" hidden="1" customWidth="1"/>
    <col min="18" max="18" width="20" style="1145" customWidth="1"/>
    <col min="19" max="19" width="11.7109375" style="1146" customWidth="1"/>
    <col min="20" max="20" width="5.7109375" style="1146" hidden="1" customWidth="1"/>
    <col min="21" max="25" width="16.28515625" style="1144" customWidth="1"/>
    <col min="26" max="26" width="28.5703125" style="1144" customWidth="1"/>
    <col min="27" max="16384" width="12.28515625" style="1144"/>
  </cols>
  <sheetData>
    <row r="1" spans="1:28" ht="10.9" customHeight="1"/>
    <row r="2" spans="1:28" ht="10.9" customHeight="1">
      <c r="C2" s="1147" t="s">
        <v>3527</v>
      </c>
      <c r="H2" s="1147" t="s">
        <v>3526</v>
      </c>
      <c r="J2" s="1147" t="s">
        <v>3315</v>
      </c>
      <c r="K2" s="1147" t="s">
        <v>3316</v>
      </c>
      <c r="L2" s="1147" t="s">
        <v>3528</v>
      </c>
      <c r="M2" s="1147" t="s">
        <v>3529</v>
      </c>
      <c r="N2" s="1147" t="s">
        <v>3530</v>
      </c>
      <c r="O2" s="1148" t="s">
        <v>3531</v>
      </c>
      <c r="T2" s="1149" t="s">
        <v>3549</v>
      </c>
      <c r="U2" s="1321" t="str" cm="1">
        <f t="array" aca="1" ref="U2" ca="1">IFERROR(IF(GetUserDomain()="AWS",HYPERLINK("M:\02 WD\02 Technologien\23 Elektronik - Elektrik\98 Taskforce EE\02 Materialkosten (Degression, C-Teile)\Degression","Info"),""),"")</f>
        <v/>
      </c>
      <c r="W2" s="1147" t="s">
        <v>3580</v>
      </c>
    </row>
    <row r="3" spans="1:28" ht="10.9" customHeight="1">
      <c r="C3" s="1150">
        <f>Y23</f>
        <v>9.352884190325797E-2</v>
      </c>
      <c r="H3" s="1151">
        <v>800000</v>
      </c>
      <c r="J3" s="1152">
        <v>30</v>
      </c>
      <c r="K3" s="1152">
        <v>28</v>
      </c>
      <c r="L3" s="1152" t="s">
        <v>4006</v>
      </c>
      <c r="M3" s="1152">
        <v>0.746</v>
      </c>
      <c r="N3" s="1153">
        <f>IFERROR(SUMPRODUCT(EBOM49[Quantity 
Total],EBOM49[No of Pins/Pads])/((J3*K3)/100),0)</f>
        <v>0</v>
      </c>
      <c r="O3" s="1153">
        <f>(1*1*0.2*8.4/1000)*SUMPRODUCT(EBOM49[No of Pins/Pads],EBOM49[Quantity 
Total])</f>
        <v>0</v>
      </c>
      <c r="T3" s="1154">
        <v>0.8</v>
      </c>
      <c r="U3" s="1321"/>
      <c r="W3" s="1155">
        <v>0.67</v>
      </c>
    </row>
    <row r="4" spans="1:28" ht="10.9" customHeight="1">
      <c r="E4" s="1156"/>
      <c r="F4" s="1156"/>
      <c r="G4" s="1156"/>
      <c r="H4" s="1156"/>
      <c r="I4" s="1156"/>
      <c r="J4" s="1156"/>
      <c r="K4" s="1156"/>
    </row>
    <row r="5" spans="1:28" s="1161" customFormat="1" ht="25.9" customHeight="1">
      <c r="A5" s="1157" t="s">
        <v>76</v>
      </c>
      <c r="B5" s="1158" t="s">
        <v>3508</v>
      </c>
      <c r="C5" s="1158" t="s">
        <v>3509</v>
      </c>
      <c r="D5" s="1158" t="s">
        <v>3510</v>
      </c>
      <c r="E5" s="1158" t="s">
        <v>3511</v>
      </c>
      <c r="F5" s="1158" t="s">
        <v>3575</v>
      </c>
      <c r="G5" s="1158" t="s">
        <v>3512</v>
      </c>
      <c r="H5" s="1158" t="s">
        <v>3467</v>
      </c>
      <c r="I5" s="1158" t="s">
        <v>69</v>
      </c>
      <c r="J5" s="1158" t="s">
        <v>3513</v>
      </c>
      <c r="K5" s="1158" t="s">
        <v>3514</v>
      </c>
      <c r="L5" s="1158" t="s">
        <v>3515</v>
      </c>
      <c r="M5" s="1158" t="s">
        <v>3516</v>
      </c>
      <c r="N5" s="1158" t="s">
        <v>3517</v>
      </c>
      <c r="O5" s="1158" t="s">
        <v>915</v>
      </c>
      <c r="P5" s="1158" t="s">
        <v>3518</v>
      </c>
      <c r="Q5" s="1158" t="s">
        <v>3551</v>
      </c>
      <c r="R5" s="1159" t="s">
        <v>3519</v>
      </c>
      <c r="S5" s="1158" t="s">
        <v>3550</v>
      </c>
      <c r="T5" s="1158" t="s">
        <v>3549</v>
      </c>
      <c r="U5" s="1158" t="s">
        <v>3360</v>
      </c>
      <c r="V5" s="1158" t="s">
        <v>3520</v>
      </c>
      <c r="W5" s="1158" t="s">
        <v>3521</v>
      </c>
      <c r="X5" s="1158" t="s">
        <v>3522</v>
      </c>
      <c r="Y5" s="1158" t="s">
        <v>3527</v>
      </c>
      <c r="Z5" s="1160" t="s">
        <v>3523</v>
      </c>
    </row>
    <row r="6" spans="1:28" ht="25.9" customHeight="1">
      <c r="A6" s="1162"/>
      <c r="B6" s="1163" t="s">
        <v>4007</v>
      </c>
      <c r="C6" s="1163"/>
      <c r="D6" s="1163"/>
      <c r="E6" s="1152"/>
      <c r="F6" s="1152"/>
      <c r="G6" s="1153"/>
      <c r="H6" s="1152"/>
      <c r="I6" s="1163"/>
      <c r="J6" s="1164"/>
      <c r="K6" s="1163"/>
      <c r="L6" s="1163"/>
      <c r="M6" s="1163"/>
      <c r="N6" s="1163"/>
      <c r="O6" s="1165"/>
      <c r="P6" s="1166"/>
      <c r="Q6" s="1166"/>
      <c r="R6" s="1167"/>
      <c r="S6" s="1168"/>
      <c r="T6" s="1169">
        <v>1</v>
      </c>
      <c r="U6" s="1170">
        <v>1</v>
      </c>
      <c r="V6" s="1170">
        <f t="shared" ref="V6:V22" si="0">R6*U6*T6</f>
        <v>0</v>
      </c>
      <c r="W6" s="1171"/>
      <c r="X6" s="1171"/>
      <c r="Y6" s="1172">
        <f>IF(OR(ISBLANK(M3),ISBLANK(K3),ISBLANK(J3)),"Bitte alle Felder ausfüllen",((J3*K3)/10000)*M3/W3)</f>
        <v>9.352835820895522E-2</v>
      </c>
      <c r="Z6" s="1173"/>
      <c r="AA6" s="1161"/>
      <c r="AB6" s="1161"/>
    </row>
    <row r="7" spans="1:28" ht="25.9" customHeight="1">
      <c r="A7" s="1162"/>
      <c r="B7" s="1163" t="s">
        <v>3548</v>
      </c>
      <c r="C7" s="1163"/>
      <c r="D7" s="1163"/>
      <c r="E7" s="1152"/>
      <c r="F7" s="1152"/>
      <c r="G7" s="1153">
        <f>E7+F7</f>
        <v>0</v>
      </c>
      <c r="H7" s="1152"/>
      <c r="I7" s="1163"/>
      <c r="J7" s="1164"/>
      <c r="K7" s="1163"/>
      <c r="L7" s="1163"/>
      <c r="M7" s="1163"/>
      <c r="N7" s="1163"/>
      <c r="O7" s="1165"/>
      <c r="P7" s="1166"/>
      <c r="Q7" s="1166"/>
      <c r="R7" s="1167"/>
      <c r="S7" s="1168"/>
      <c r="T7" s="1169">
        <v>1</v>
      </c>
      <c r="U7" s="1170">
        <v>1</v>
      </c>
      <c r="V7" s="1170">
        <f t="shared" si="0"/>
        <v>0</v>
      </c>
      <c r="W7" s="1171">
        <f>E7*V7</f>
        <v>0</v>
      </c>
      <c r="X7" s="1171">
        <f>F7*V7</f>
        <v>0</v>
      </c>
      <c r="Y7" s="1171">
        <f>O3/1000*20</f>
        <v>0</v>
      </c>
      <c r="Z7" s="1173"/>
      <c r="AA7" s="1161"/>
      <c r="AB7" s="1161"/>
    </row>
    <row r="8" spans="1:28" ht="25.9" customHeight="1">
      <c r="A8" s="1174"/>
      <c r="B8" s="1175" t="s">
        <v>3524</v>
      </c>
      <c r="C8" s="1163"/>
      <c r="D8" s="1164"/>
      <c r="E8" s="1152"/>
      <c r="F8" s="1152"/>
      <c r="G8" s="1153">
        <f t="shared" ref="G8:G9" si="1">E8+F8</f>
        <v>0</v>
      </c>
      <c r="H8" s="1152"/>
      <c r="I8" s="1164"/>
      <c r="J8" s="1163"/>
      <c r="K8" s="1163"/>
      <c r="L8" s="1163"/>
      <c r="M8" s="1163"/>
      <c r="N8" s="1163"/>
      <c r="O8" s="1165"/>
      <c r="P8" s="1166"/>
      <c r="Q8" s="1166"/>
      <c r="R8" s="1167"/>
      <c r="S8" s="1168"/>
      <c r="T8" s="1169"/>
      <c r="U8" s="1170" cm="1">
        <f t="array" ref="U8">EBOM_Factor</f>
        <v>0</v>
      </c>
      <c r="V8" s="1170">
        <f t="shared" si="0"/>
        <v>0</v>
      </c>
      <c r="W8" s="1171"/>
      <c r="X8" s="1171"/>
      <c r="Y8" s="1171">
        <f t="shared" ref="Y8:Y9" si="2">X8+W8</f>
        <v>0</v>
      </c>
      <c r="Z8" s="1173"/>
      <c r="AA8" s="1161"/>
      <c r="AB8" s="1161"/>
    </row>
    <row r="9" spans="1:28" ht="25.9" customHeight="1">
      <c r="A9" s="1162">
        <f t="shared" ref="A9" si="3">ROW()-8</f>
        <v>1</v>
      </c>
      <c r="B9" s="1163" t="s">
        <v>667</v>
      </c>
      <c r="C9" s="1163" t="s">
        <v>4062</v>
      </c>
      <c r="D9" s="1164" t="s">
        <v>4128</v>
      </c>
      <c r="E9" s="1152">
        <v>1</v>
      </c>
      <c r="F9" s="1152"/>
      <c r="G9" s="1153">
        <f t="shared" si="1"/>
        <v>1</v>
      </c>
      <c r="H9" s="1152"/>
      <c r="I9" s="1163"/>
      <c r="J9" s="1164"/>
      <c r="K9" s="1163"/>
      <c r="L9" s="1163"/>
      <c r="M9" s="1163">
        <v>0</v>
      </c>
      <c r="N9" s="1163" t="s">
        <v>4127</v>
      </c>
      <c r="O9" s="1165" t="s">
        <v>4063</v>
      </c>
      <c r="P9" s="1166">
        <v>5000</v>
      </c>
      <c r="Q9" s="1166"/>
      <c r="R9" s="1167">
        <f>Info!E25</f>
        <v>1.4696096058858786E-6</v>
      </c>
      <c r="S9" s="1168"/>
      <c r="T9" s="1169">
        <f t="shared" ref="T9" si="4">Project_Factor</f>
        <v>0.8</v>
      </c>
      <c r="U9" s="1170" cm="1">
        <f t="array" ref="U9">EBOM_Factor</f>
        <v>0.4114139401538276</v>
      </c>
      <c r="V9" s="1170">
        <f t="shared" si="0"/>
        <v>4.8369430275633848E-7</v>
      </c>
      <c r="W9" s="1171">
        <f t="shared" ref="W9" si="5">E9*V9</f>
        <v>4.8369430275633848E-7</v>
      </c>
      <c r="X9" s="1171">
        <f t="shared" ref="X9" si="6">F9*V9</f>
        <v>0</v>
      </c>
      <c r="Y9" s="1171">
        <f t="shared" si="2"/>
        <v>4.8369430275633848E-7</v>
      </c>
      <c r="Z9" s="1173"/>
    </row>
    <row r="10" spans="1:28" ht="25.9" customHeight="1">
      <c r="A10" s="1162">
        <f>ROW()-8</f>
        <v>2</v>
      </c>
      <c r="B10" s="1163"/>
      <c r="C10" s="1163"/>
      <c r="D10" s="1163"/>
      <c r="E10" s="1152"/>
      <c r="F10" s="1152"/>
      <c r="G10" s="1153">
        <f>E10+F10</f>
        <v>0</v>
      </c>
      <c r="H10" s="1152"/>
      <c r="I10" s="1163"/>
      <c r="J10" s="1164"/>
      <c r="K10" s="1163"/>
      <c r="L10" s="1163"/>
      <c r="M10" s="1163"/>
      <c r="N10" s="1163"/>
      <c r="O10" s="1165"/>
      <c r="P10" s="1166"/>
      <c r="Q10" s="1166"/>
      <c r="R10" s="1167"/>
      <c r="S10" s="1168"/>
      <c r="T10" s="1169">
        <f t="shared" ref="T10" si="7">Project_Factor</f>
        <v>0.8</v>
      </c>
      <c r="U10" s="1170" cm="1">
        <f t="array" ref="U10">EBOM_Factor</f>
        <v>0</v>
      </c>
      <c r="V10" s="1170">
        <f t="shared" si="0"/>
        <v>0</v>
      </c>
      <c r="W10" s="1171">
        <f>E10*V10</f>
        <v>0</v>
      </c>
      <c r="X10" s="1171">
        <f>F10*V10</f>
        <v>0</v>
      </c>
      <c r="Y10" s="1171">
        <f>X10+W10</f>
        <v>0</v>
      </c>
      <c r="Z10" s="1173"/>
    </row>
    <row r="11" spans="1:28" ht="25.9" customHeight="1">
      <c r="A11" s="1162">
        <f t="shared" ref="A11" si="8">ROW()-8</f>
        <v>3</v>
      </c>
      <c r="B11" s="1163"/>
      <c r="C11" s="1163"/>
      <c r="D11" s="1163"/>
      <c r="E11" s="1152"/>
      <c r="F11" s="1152"/>
      <c r="G11" s="1153">
        <f t="shared" ref="G11" si="9">E11+F11</f>
        <v>0</v>
      </c>
      <c r="H11" s="1152"/>
      <c r="I11" s="1163"/>
      <c r="J11" s="1164"/>
      <c r="K11" s="1163"/>
      <c r="L11" s="1163"/>
      <c r="M11" s="1163"/>
      <c r="N11" s="1163"/>
      <c r="O11" s="1165"/>
      <c r="P11" s="1166"/>
      <c r="Q11" s="1166"/>
      <c r="R11" s="1167"/>
      <c r="S11" s="1168"/>
      <c r="T11" s="1169">
        <f t="shared" ref="T11" si="10">Project_Factor</f>
        <v>0.8</v>
      </c>
      <c r="U11" s="1170" cm="1">
        <f t="array" ref="U11">EBOM_Factor</f>
        <v>0</v>
      </c>
      <c r="V11" s="1170">
        <f t="shared" si="0"/>
        <v>0</v>
      </c>
      <c r="W11" s="1171">
        <f t="shared" ref="W11" si="11">E11*V11</f>
        <v>0</v>
      </c>
      <c r="X11" s="1171">
        <f t="shared" ref="X11" si="12">F11*V11</f>
        <v>0</v>
      </c>
      <c r="Y11" s="1171">
        <f t="shared" ref="Y11" si="13">X11+W11</f>
        <v>0</v>
      </c>
      <c r="Z11" s="1173"/>
    </row>
    <row r="12" spans="1:28" ht="25.9" customHeight="1">
      <c r="A12" s="1162">
        <f>ROW()-8</f>
        <v>4</v>
      </c>
      <c r="B12" s="1163"/>
      <c r="C12" s="1163"/>
      <c r="D12" s="1163"/>
      <c r="E12" s="1152"/>
      <c r="F12" s="1152"/>
      <c r="G12" s="1153">
        <f>E12+F12</f>
        <v>0</v>
      </c>
      <c r="H12" s="1152"/>
      <c r="I12" s="1163"/>
      <c r="J12" s="1164"/>
      <c r="K12" s="1163"/>
      <c r="L12" s="1163"/>
      <c r="M12" s="1163"/>
      <c r="N12" s="1163"/>
      <c r="O12" s="1165"/>
      <c r="P12" s="1166"/>
      <c r="Q12" s="1166"/>
      <c r="R12" s="1167"/>
      <c r="S12" s="1168"/>
      <c r="T12" s="1169">
        <f t="shared" ref="T12" si="14">Project_Factor</f>
        <v>0.8</v>
      </c>
      <c r="U12" s="1170" cm="1">
        <f t="array" ref="U12">EBOM_Factor</f>
        <v>0</v>
      </c>
      <c r="V12" s="1170">
        <f t="shared" si="0"/>
        <v>0</v>
      </c>
      <c r="W12" s="1171">
        <f>E12*V12</f>
        <v>0</v>
      </c>
      <c r="X12" s="1171">
        <f>F12*V12</f>
        <v>0</v>
      </c>
      <c r="Y12" s="1171">
        <f>X12+W12</f>
        <v>0</v>
      </c>
      <c r="Z12" s="1173"/>
    </row>
    <row r="13" spans="1:28" ht="25.9" customHeight="1">
      <c r="A13" s="1162">
        <f t="shared" ref="A13:A15" si="15">ROW()-8</f>
        <v>5</v>
      </c>
      <c r="B13" s="1163"/>
      <c r="C13" s="1163"/>
      <c r="D13" s="1163"/>
      <c r="E13" s="1152"/>
      <c r="F13" s="1152"/>
      <c r="G13" s="1153">
        <f t="shared" ref="G13" si="16">E13+F13</f>
        <v>0</v>
      </c>
      <c r="H13" s="1152"/>
      <c r="I13" s="1163"/>
      <c r="J13" s="1164"/>
      <c r="K13" s="1163"/>
      <c r="L13" s="1163"/>
      <c r="M13" s="1163"/>
      <c r="N13" s="1163"/>
      <c r="O13" s="1165"/>
      <c r="P13" s="1166"/>
      <c r="Q13" s="1166"/>
      <c r="R13" s="1167"/>
      <c r="S13" s="1168"/>
      <c r="T13" s="1169">
        <f t="shared" ref="T13" si="17">Project_Factor</f>
        <v>0.8</v>
      </c>
      <c r="U13" s="1170" cm="1">
        <f t="array" ref="U13">EBOM_Factor</f>
        <v>0</v>
      </c>
      <c r="V13" s="1170">
        <f t="shared" si="0"/>
        <v>0</v>
      </c>
      <c r="W13" s="1171">
        <f t="shared" ref="W13:W16" si="18">E13*V13</f>
        <v>0</v>
      </c>
      <c r="X13" s="1171">
        <f t="shared" ref="X13:X16" si="19">F13*V13</f>
        <v>0</v>
      </c>
      <c r="Y13" s="1171">
        <f t="shared" ref="Y13" si="20">X13+W13</f>
        <v>0</v>
      </c>
      <c r="Z13" s="1173"/>
    </row>
    <row r="14" spans="1:28" ht="25.9" customHeight="1">
      <c r="A14" s="1162">
        <f t="shared" si="15"/>
        <v>6</v>
      </c>
      <c r="B14" s="1163"/>
      <c r="C14" s="1163"/>
      <c r="D14" s="1163"/>
      <c r="E14" s="1152"/>
      <c r="F14" s="1152"/>
      <c r="G14" s="1153">
        <f>E14+F14</f>
        <v>0</v>
      </c>
      <c r="H14" s="1152"/>
      <c r="I14" s="1163"/>
      <c r="J14" s="1164"/>
      <c r="K14" s="1163"/>
      <c r="L14" s="1163"/>
      <c r="M14" s="1163"/>
      <c r="N14" s="1163"/>
      <c r="O14" s="1165"/>
      <c r="P14" s="1166"/>
      <c r="Q14" s="1166"/>
      <c r="R14" s="1167"/>
      <c r="S14" s="1168"/>
      <c r="T14" s="1169">
        <f t="shared" ref="T14" si="21">Project_Factor</f>
        <v>0.8</v>
      </c>
      <c r="U14" s="1170" cm="1">
        <f t="array" ref="U14">EBOM_Factor</f>
        <v>0</v>
      </c>
      <c r="V14" s="1170">
        <f t="shared" si="0"/>
        <v>0</v>
      </c>
      <c r="W14" s="1171">
        <f t="shared" si="18"/>
        <v>0</v>
      </c>
      <c r="X14" s="1171">
        <f t="shared" si="19"/>
        <v>0</v>
      </c>
      <c r="Y14" s="1171">
        <f>X14+W14</f>
        <v>0</v>
      </c>
      <c r="Z14" s="1173"/>
    </row>
    <row r="15" spans="1:28" ht="25.9" customHeight="1">
      <c r="A15" s="1162">
        <f t="shared" si="15"/>
        <v>7</v>
      </c>
      <c r="B15" s="1163"/>
      <c r="C15" s="1163"/>
      <c r="D15" s="1163"/>
      <c r="E15" s="1152"/>
      <c r="F15" s="1152"/>
      <c r="G15" s="1153">
        <f t="shared" ref="G15:G16" si="22">E15+F15</f>
        <v>0</v>
      </c>
      <c r="H15" s="1152"/>
      <c r="I15" s="1163"/>
      <c r="J15" s="1164"/>
      <c r="K15" s="1163"/>
      <c r="L15" s="1163"/>
      <c r="M15" s="1163"/>
      <c r="N15" s="1163"/>
      <c r="O15" s="1165"/>
      <c r="P15" s="1166"/>
      <c r="Q15" s="1166"/>
      <c r="R15" s="1167"/>
      <c r="S15" s="1168"/>
      <c r="T15" s="1169">
        <f t="shared" ref="T15" si="23">Project_Factor</f>
        <v>0.8</v>
      </c>
      <c r="U15" s="1170" cm="1">
        <f t="array" ref="U15">EBOM_Factor</f>
        <v>0</v>
      </c>
      <c r="V15" s="1170">
        <f t="shared" si="0"/>
        <v>0</v>
      </c>
      <c r="W15" s="1171">
        <f t="shared" si="18"/>
        <v>0</v>
      </c>
      <c r="X15" s="1171">
        <f t="shared" si="19"/>
        <v>0</v>
      </c>
      <c r="Y15" s="1171">
        <f t="shared" ref="Y15:Y16" si="24">X15+W15</f>
        <v>0</v>
      </c>
      <c r="Z15" s="1173"/>
    </row>
    <row r="16" spans="1:28" ht="25.9" customHeight="1">
      <c r="A16" s="1174"/>
      <c r="B16" s="1175" t="s">
        <v>3525</v>
      </c>
      <c r="C16" s="1163"/>
      <c r="D16" s="1164"/>
      <c r="E16" s="1152"/>
      <c r="F16" s="1152"/>
      <c r="G16" s="1153">
        <f t="shared" si="22"/>
        <v>0</v>
      </c>
      <c r="H16" s="1152"/>
      <c r="I16" s="1164"/>
      <c r="J16" s="1163"/>
      <c r="K16" s="1163"/>
      <c r="L16" s="1163"/>
      <c r="M16" s="1163"/>
      <c r="N16" s="1163"/>
      <c r="O16" s="1165"/>
      <c r="P16" s="1166"/>
      <c r="Q16" s="1166"/>
      <c r="R16" s="1167"/>
      <c r="S16" s="1168"/>
      <c r="T16" s="1169">
        <f t="shared" ref="T16" si="25">Project_Factor</f>
        <v>0.8</v>
      </c>
      <c r="U16" s="1170" cm="1">
        <f t="array" ref="U16">EBOM_Factor</f>
        <v>0</v>
      </c>
      <c r="V16" s="1170">
        <f t="shared" si="0"/>
        <v>0</v>
      </c>
      <c r="W16" s="1171">
        <f t="shared" si="18"/>
        <v>0</v>
      </c>
      <c r="X16" s="1171">
        <f t="shared" si="19"/>
        <v>0</v>
      </c>
      <c r="Y16" s="1171">
        <f t="shared" si="24"/>
        <v>0</v>
      </c>
      <c r="Z16" s="1173"/>
    </row>
    <row r="17" spans="1:26" ht="25.9" customHeight="1">
      <c r="A17" s="1162">
        <f>ROW()-8</f>
        <v>9</v>
      </c>
      <c r="B17" s="1163"/>
      <c r="C17" s="1163"/>
      <c r="D17" s="1163"/>
      <c r="E17" s="1152"/>
      <c r="F17" s="1152"/>
      <c r="G17" s="1153">
        <f>E17+F17</f>
        <v>0</v>
      </c>
      <c r="H17" s="1152"/>
      <c r="I17" s="1163"/>
      <c r="J17" s="1164"/>
      <c r="K17" s="1163"/>
      <c r="L17" s="1163"/>
      <c r="M17" s="1163"/>
      <c r="N17" s="1163"/>
      <c r="O17" s="1165"/>
      <c r="P17" s="1166"/>
      <c r="Q17" s="1166"/>
      <c r="R17" s="1167"/>
      <c r="S17" s="1168"/>
      <c r="T17" s="1169">
        <f t="shared" ref="T17" si="26">Project_Factor</f>
        <v>0.8</v>
      </c>
      <c r="U17" s="1170" cm="1">
        <f t="array" ref="U17">EBOM_Factor</f>
        <v>0</v>
      </c>
      <c r="V17" s="1170">
        <f t="shared" si="0"/>
        <v>0</v>
      </c>
      <c r="W17" s="1171">
        <f>E17*V17</f>
        <v>0</v>
      </c>
      <c r="X17" s="1171">
        <f>F17*V17</f>
        <v>0</v>
      </c>
      <c r="Y17" s="1171">
        <f>X17+W17</f>
        <v>0</v>
      </c>
      <c r="Z17" s="1173"/>
    </row>
    <row r="18" spans="1:26" ht="25.9" customHeight="1">
      <c r="A18" s="1162">
        <f t="shared" ref="A18:A22" si="27">ROW()-8</f>
        <v>10</v>
      </c>
      <c r="B18" s="1163"/>
      <c r="C18" s="1163"/>
      <c r="D18" s="1163"/>
      <c r="E18" s="1152"/>
      <c r="F18" s="1152"/>
      <c r="G18" s="1153">
        <f t="shared" ref="G18:G22" si="28">E18+F18</f>
        <v>0</v>
      </c>
      <c r="H18" s="1152"/>
      <c r="I18" s="1163"/>
      <c r="J18" s="1164"/>
      <c r="K18" s="1163"/>
      <c r="L18" s="1163"/>
      <c r="M18" s="1163"/>
      <c r="N18" s="1163"/>
      <c r="O18" s="1165"/>
      <c r="P18" s="1166"/>
      <c r="Q18" s="1166"/>
      <c r="R18" s="1167"/>
      <c r="S18" s="1168"/>
      <c r="T18" s="1169">
        <f t="shared" ref="T18" si="29">Project_Factor</f>
        <v>0.8</v>
      </c>
      <c r="U18" s="1170" cm="1">
        <f t="array" ref="U18">EBOM_Factor</f>
        <v>0</v>
      </c>
      <c r="V18" s="1170">
        <f t="shared" si="0"/>
        <v>0</v>
      </c>
      <c r="W18" s="1171">
        <f t="shared" ref="W18:W22" si="30">E18*V18</f>
        <v>0</v>
      </c>
      <c r="X18" s="1171">
        <f t="shared" ref="X18:X22" si="31">F18*V18</f>
        <v>0</v>
      </c>
      <c r="Y18" s="1171">
        <f t="shared" ref="Y18:Y22" si="32">X18+W18</f>
        <v>0</v>
      </c>
      <c r="Z18" s="1173"/>
    </row>
    <row r="19" spans="1:26" ht="25.9" customHeight="1">
      <c r="A19" s="1162">
        <f t="shared" si="27"/>
        <v>11</v>
      </c>
      <c r="B19" s="1163"/>
      <c r="C19" s="1163"/>
      <c r="D19" s="1163"/>
      <c r="E19" s="1152"/>
      <c r="F19" s="1152"/>
      <c r="G19" s="1153">
        <f t="shared" si="28"/>
        <v>0</v>
      </c>
      <c r="H19" s="1152"/>
      <c r="I19" s="1163"/>
      <c r="J19" s="1164"/>
      <c r="K19" s="1163"/>
      <c r="L19" s="1163"/>
      <c r="M19" s="1163"/>
      <c r="N19" s="1163"/>
      <c r="O19" s="1165"/>
      <c r="P19" s="1166"/>
      <c r="Q19" s="1166"/>
      <c r="R19" s="1167"/>
      <c r="S19" s="1168"/>
      <c r="T19" s="1169">
        <f t="shared" ref="T19" si="33">Project_Factor</f>
        <v>0.8</v>
      </c>
      <c r="U19" s="1170" cm="1">
        <f t="array" ref="U19">EBOM_Factor</f>
        <v>0</v>
      </c>
      <c r="V19" s="1170">
        <f t="shared" si="0"/>
        <v>0</v>
      </c>
      <c r="W19" s="1171">
        <f t="shared" si="30"/>
        <v>0</v>
      </c>
      <c r="X19" s="1171">
        <f t="shared" si="31"/>
        <v>0</v>
      </c>
      <c r="Y19" s="1171">
        <f t="shared" si="32"/>
        <v>0</v>
      </c>
      <c r="Z19" s="1173"/>
    </row>
    <row r="20" spans="1:26" ht="25.9" customHeight="1">
      <c r="A20" s="1162">
        <f t="shared" si="27"/>
        <v>12</v>
      </c>
      <c r="B20" s="1163"/>
      <c r="C20" s="1163"/>
      <c r="D20" s="1163"/>
      <c r="E20" s="1152"/>
      <c r="F20" s="1152"/>
      <c r="G20" s="1153">
        <f t="shared" si="28"/>
        <v>0</v>
      </c>
      <c r="H20" s="1152"/>
      <c r="I20" s="1163"/>
      <c r="J20" s="1164"/>
      <c r="K20" s="1163"/>
      <c r="L20" s="1163"/>
      <c r="M20" s="1163"/>
      <c r="N20" s="1163"/>
      <c r="O20" s="1165"/>
      <c r="P20" s="1166"/>
      <c r="Q20" s="1166"/>
      <c r="R20" s="1167"/>
      <c r="S20" s="1168"/>
      <c r="T20" s="1169">
        <f t="shared" ref="T20" si="34">Project_Factor</f>
        <v>0.8</v>
      </c>
      <c r="U20" s="1170" cm="1">
        <f t="array" ref="U20">EBOM_Factor</f>
        <v>0</v>
      </c>
      <c r="V20" s="1170">
        <f t="shared" si="0"/>
        <v>0</v>
      </c>
      <c r="W20" s="1171">
        <f t="shared" si="30"/>
        <v>0</v>
      </c>
      <c r="X20" s="1171">
        <f t="shared" si="31"/>
        <v>0</v>
      </c>
      <c r="Y20" s="1171">
        <f t="shared" si="32"/>
        <v>0</v>
      </c>
      <c r="Z20" s="1173"/>
    </row>
    <row r="21" spans="1:26" ht="25.9" customHeight="1">
      <c r="A21" s="1162">
        <f t="shared" si="27"/>
        <v>13</v>
      </c>
      <c r="B21" s="1163"/>
      <c r="C21" s="1163"/>
      <c r="D21" s="1163"/>
      <c r="E21" s="1152"/>
      <c r="F21" s="1152"/>
      <c r="G21" s="1153">
        <f t="shared" si="28"/>
        <v>0</v>
      </c>
      <c r="H21" s="1152"/>
      <c r="I21" s="1163"/>
      <c r="J21" s="1164"/>
      <c r="K21" s="1163"/>
      <c r="L21" s="1163"/>
      <c r="M21" s="1163"/>
      <c r="N21" s="1163"/>
      <c r="O21" s="1165"/>
      <c r="P21" s="1166"/>
      <c r="Q21" s="1166"/>
      <c r="R21" s="1167"/>
      <c r="S21" s="1168"/>
      <c r="T21" s="1169">
        <f t="shared" ref="T21" si="35">Project_Factor</f>
        <v>0.8</v>
      </c>
      <c r="U21" s="1170" cm="1">
        <f t="array" ref="U21">EBOM_Factor</f>
        <v>0</v>
      </c>
      <c r="V21" s="1170">
        <f t="shared" si="0"/>
        <v>0</v>
      </c>
      <c r="W21" s="1171">
        <f t="shared" si="30"/>
        <v>0</v>
      </c>
      <c r="X21" s="1171">
        <f t="shared" si="31"/>
        <v>0</v>
      </c>
      <c r="Y21" s="1171">
        <f t="shared" si="32"/>
        <v>0</v>
      </c>
      <c r="Z21" s="1173"/>
    </row>
    <row r="22" spans="1:26" ht="25.9" customHeight="1">
      <c r="A22" s="1162">
        <f t="shared" si="27"/>
        <v>14</v>
      </c>
      <c r="B22" s="1163"/>
      <c r="C22" s="1163"/>
      <c r="D22" s="1163"/>
      <c r="E22" s="1152"/>
      <c r="F22" s="1152"/>
      <c r="G22" s="1153">
        <f t="shared" si="28"/>
        <v>0</v>
      </c>
      <c r="H22" s="1152"/>
      <c r="I22" s="1163"/>
      <c r="J22" s="1164"/>
      <c r="K22" s="1163"/>
      <c r="L22" s="1163"/>
      <c r="M22" s="1163"/>
      <c r="N22" s="1163"/>
      <c r="O22" s="1165"/>
      <c r="P22" s="1166"/>
      <c r="Q22" s="1166"/>
      <c r="R22" s="1167"/>
      <c r="S22" s="1168"/>
      <c r="T22" s="1169">
        <f t="shared" ref="T22" si="36">Project_Factor</f>
        <v>0.8</v>
      </c>
      <c r="U22" s="1170" cm="1">
        <f t="array" ref="U22">EBOM_Factor</f>
        <v>0</v>
      </c>
      <c r="V22" s="1170">
        <f t="shared" si="0"/>
        <v>0</v>
      </c>
      <c r="W22" s="1171">
        <f t="shared" si="30"/>
        <v>0</v>
      </c>
      <c r="X22" s="1171">
        <f t="shared" si="31"/>
        <v>0</v>
      </c>
      <c r="Y22" s="1171">
        <f t="shared" si="32"/>
        <v>0</v>
      </c>
      <c r="Z22" s="1173"/>
    </row>
    <row r="23" spans="1:26" ht="25.9" customHeight="1">
      <c r="A23" s="1176"/>
      <c r="B23" s="1177" t="s">
        <v>3532</v>
      </c>
      <c r="C23" s="1177"/>
      <c r="D23" s="1177"/>
      <c r="E23" s="1177"/>
      <c r="F23" s="1177"/>
      <c r="G23" s="1177"/>
      <c r="H23" s="1177"/>
      <c r="I23" s="1177"/>
      <c r="J23" s="1177"/>
      <c r="K23" s="1177"/>
      <c r="L23" s="1177"/>
      <c r="M23" s="1177"/>
      <c r="N23" s="1177"/>
      <c r="O23" s="1177"/>
      <c r="P23" s="1177"/>
      <c r="Q23" s="1177"/>
      <c r="R23" s="1178">
        <f>SUM(R6:R22)</f>
        <v>1.4696096058858786E-6</v>
      </c>
      <c r="S23" s="1177"/>
      <c r="T23" s="1177"/>
      <c r="U23" s="1179"/>
      <c r="V23" s="1179"/>
      <c r="W23" s="1179">
        <f>SUM(EBOM49[Price Top Side])</f>
        <v>4.8369430275633848E-7</v>
      </c>
      <c r="X23" s="1179">
        <f>SUM(EBOM49[Price Bottom Side])</f>
        <v>0</v>
      </c>
      <c r="Y23" s="1179">
        <f>SUM(EBOM49[Total Price])</f>
        <v>9.352884190325797E-2</v>
      </c>
      <c r="Z23" s="1179"/>
    </row>
    <row r="24" spans="1:26" ht="25.9" customHeight="1"/>
    <row r="25" spans="1:26" ht="25.9" customHeight="1" thickBot="1">
      <c r="E25" s="1180"/>
      <c r="F25" s="1180"/>
      <c r="G25" s="1180"/>
      <c r="H25" s="1322" t="s">
        <v>3524</v>
      </c>
      <c r="I25" s="1322"/>
      <c r="K25" s="1322" t="s">
        <v>3525</v>
      </c>
      <c r="L25" s="1322"/>
      <c r="N25" s="1180"/>
      <c r="P25" s="1180"/>
      <c r="Q25" s="1180"/>
      <c r="R25" s="1181"/>
      <c r="S25" s="1182"/>
      <c r="T25" s="1182"/>
      <c r="U25" s="1183"/>
      <c r="V25" s="1184"/>
      <c r="X25" s="1180"/>
    </row>
    <row r="26" spans="1:26" ht="25.9" customHeight="1">
      <c r="E26" s="1180"/>
      <c r="F26" s="1180"/>
      <c r="G26" s="1180"/>
      <c r="H26" s="1185" t="s">
        <v>3486</v>
      </c>
      <c r="I26" s="1186">
        <f>SUMIF(EBOM49[SMD/THT],"SMD",EBOM49[Quantity 
Top Side])</f>
        <v>0</v>
      </c>
      <c r="K26" s="1185" t="s">
        <v>3486</v>
      </c>
      <c r="L26" s="1186">
        <f>SUMIF(EBOM49[SMD/THT],"SMD",EBOM49[Quantity 
Bottom Side])</f>
        <v>0</v>
      </c>
      <c r="N26" s="1180"/>
      <c r="R26" s="1181"/>
      <c r="S26" s="1182"/>
      <c r="T26" s="1182"/>
      <c r="U26" s="1183"/>
      <c r="V26" s="1184"/>
      <c r="W26" s="1183"/>
      <c r="X26" s="1180"/>
    </row>
    <row r="27" spans="1:26" ht="25.9" customHeight="1">
      <c r="E27" s="1180"/>
      <c r="F27" s="1180"/>
      <c r="G27" s="1180"/>
      <c r="H27" s="1187" t="s">
        <v>3493</v>
      </c>
      <c r="I27" s="1188">
        <f>SUMIF(EBOM49[SMD/THT],"THT-radial",EBOM49[Quantity 
Top Side])</f>
        <v>0</v>
      </c>
      <c r="K27" s="1187" t="s">
        <v>3493</v>
      </c>
      <c r="L27" s="1188">
        <f>SUMIF(EBOM49[SMD/THT],"THT-radial",EBOM49[Quantity 
Bottom Side])</f>
        <v>0</v>
      </c>
      <c r="N27" s="1180"/>
      <c r="R27" s="1181"/>
      <c r="S27" s="1182"/>
      <c r="T27" s="1182"/>
      <c r="U27" s="1183"/>
      <c r="V27" s="1184"/>
      <c r="W27" s="1183"/>
      <c r="X27" s="1180"/>
    </row>
    <row r="28" spans="1:26" ht="25.9" customHeight="1">
      <c r="E28" s="1180"/>
      <c r="F28" s="1180"/>
      <c r="G28" s="1180"/>
      <c r="H28" s="1187" t="s">
        <v>3494</v>
      </c>
      <c r="I28" s="1188">
        <f>SUMIF(EBOM49[SMD/THT],"THT-axial",EBOM49[Quantity 
Top Side])</f>
        <v>0</v>
      </c>
      <c r="K28" s="1187" t="s">
        <v>3494</v>
      </c>
      <c r="L28" s="1188">
        <f>SUMIF(EBOM49[SMD/THT],"THT-axial",EBOM49[Quantity 
Bottom Side])</f>
        <v>0</v>
      </c>
      <c r="N28" s="1180"/>
      <c r="R28" s="1181"/>
      <c r="S28" s="1182"/>
      <c r="T28" s="1182"/>
      <c r="U28" s="1183"/>
      <c r="V28" s="1184"/>
      <c r="W28" s="1183"/>
      <c r="X28" s="1180"/>
    </row>
    <row r="29" spans="1:26" ht="25.9" customHeight="1" thickBot="1">
      <c r="E29" s="1180"/>
      <c r="F29" s="1180"/>
      <c r="G29" s="1180"/>
      <c r="H29" s="1189" t="s">
        <v>3543</v>
      </c>
      <c r="I29" s="1190">
        <f>SUMIF(EBOM49[SMD/THT],H29,EBOM49[Quantity 
Top Side])</f>
        <v>0</v>
      </c>
      <c r="K29" s="1189" t="s">
        <v>3543</v>
      </c>
      <c r="L29" s="1190">
        <f>SUMIF(EBOM49[SMD/THT],K29,EBOM49[Quantity 
Bottom Side])</f>
        <v>0</v>
      </c>
      <c r="N29" s="1180"/>
      <c r="R29" s="1181"/>
      <c r="S29" s="1182"/>
      <c r="T29" s="1182"/>
      <c r="U29" s="1183"/>
      <c r="V29" s="1184"/>
      <c r="W29" s="1183"/>
      <c r="X29" s="1180"/>
    </row>
    <row r="30" spans="1:26" ht="25.9" customHeight="1" thickBot="1"/>
    <row r="31" spans="1:26" ht="25.9" customHeight="1">
      <c r="H31" s="1191" t="s">
        <v>4008</v>
      </c>
      <c r="I31" s="1192" t="str">
        <f>H25</f>
        <v>TOP SIDE</v>
      </c>
      <c r="J31" s="1193" t="str">
        <f>K25</f>
        <v>BOTTOM SIDE</v>
      </c>
    </row>
    <row r="32" spans="1:26" ht="25.9" customHeight="1">
      <c r="H32" s="1194" t="str">
        <f>C63</f>
        <v>Resistor</v>
      </c>
      <c r="I32" s="1152">
        <f>SUMIFS(EBOM49[Quantity 
Top Side],EBOM49[SMD/THT],"SMD",EBOM49[Type],H32)</f>
        <v>0</v>
      </c>
      <c r="J32" s="1195">
        <f>SUMIFS(EBOM49[Quantity 
Bottom Side],EBOM49[SMD/THT],"SMD",EBOM49[Type],H32)</f>
        <v>0</v>
      </c>
    </row>
    <row r="33" spans="1:11" ht="25.9" customHeight="1">
      <c r="H33" s="1194" t="str">
        <f>C61</f>
        <v>Capacitor</v>
      </c>
      <c r="I33" s="1152">
        <f>SUMIFS(EBOM49[Quantity 
Top Side],EBOM49[SMD/THT],"SMD",EBOM49[Type],H33)</f>
        <v>0</v>
      </c>
      <c r="J33" s="1195">
        <f>SUMIFS(EBOM49[Quantity 
Bottom Side],EBOM49[SMD/THT],"SMD",EBOM49[Type],H33)</f>
        <v>0</v>
      </c>
    </row>
    <row r="34" spans="1:11" ht="25.9" customHeight="1">
      <c r="H34" s="1194" t="s">
        <v>3545</v>
      </c>
      <c r="I34" s="1152">
        <f>IF((SUMIFS(EBOM49[Quantity 
Top Side],EBOM49[SMD/THT],"SMD",EBOM49[Source],"Shortlist")+SUMIFS(EBOM49[Quantity 
Top Side],EBOM49[SMD/THT],"SMD",EBOM49[Source],"Standard")-I32-I33)&lt;0,"Tabellenspalte 'Link' ausfüllen",SUMIFS(EBOM49[Quantity 
Top Side],EBOM49[SMD/THT],"SMD",EBOM49[Source],"Shortlist")+SUMIFS(EBOM49[Quantity 
Top Side],EBOM49[SMD/THT],"SMD",EBOM49[Source],"Standard")-I32-I33)</f>
        <v>0</v>
      </c>
      <c r="J34" s="1195">
        <f>IF((SUMIFS(EBOM49[Quantity 
Bottom Side],EBOM49[SMD/THT],"SMD",EBOM49[Source],"Shortlist")+SUMIFS(EBOM49[Quantity 
Bottom Side],EBOM49[SMD/THT],"SMD",EBOM49[Source],"Standard")-J32-J33)&lt;0,"Tabellenspalte 'Link' ausfüllen",SUMIFS(EBOM49[Quantity 
Bottom Side],EBOM49[SMD/THT],"SMD",EBOM49[Source],"Shortlist")+SUMIFS(EBOM49[Quantity 
Bottom Side],EBOM49[SMD/THT],"SMD",EBOM49[Source],"Standard")-J32-J33)</f>
        <v>0</v>
      </c>
    </row>
    <row r="35" spans="1:11" ht="25.9" customHeight="1">
      <c r="H35" s="1194" t="s">
        <v>3546</v>
      </c>
      <c r="I35" s="1152">
        <f>I26-I32-I33-I34-I36</f>
        <v>0</v>
      </c>
      <c r="J35" s="1195">
        <f>L26-J32-J33-J34-J36</f>
        <v>0</v>
      </c>
    </row>
    <row r="36" spans="1:11" ht="25.9" customHeight="1" thickBot="1">
      <c r="H36" s="1196" t="s">
        <v>3547</v>
      </c>
      <c r="I36" s="1197">
        <f>I37+I38</f>
        <v>0</v>
      </c>
      <c r="J36" s="1198"/>
    </row>
    <row r="37" spans="1:11" ht="25.9" customHeight="1">
      <c r="H37" s="1199" t="s">
        <v>3499</v>
      </c>
      <c r="I37" s="1200">
        <f>SUMIFS(EBOM49[Quantity 
Top Side],EBOM49[Group],H37,EBOM49[SMD/THT],"SMD")</f>
        <v>0</v>
      </c>
      <c r="J37" s="1201">
        <f>SUMIFS(EBOM49[Quantity 
Bottom Side],EBOM49[SMD/THT],"SMD",EBOM49[Group],H37)</f>
        <v>0</v>
      </c>
    </row>
    <row r="38" spans="1:11" ht="25.9" customHeight="1">
      <c r="H38" s="1202" t="s">
        <v>3535</v>
      </c>
      <c r="I38" s="1203">
        <f>SUMIFS(EBOM49[Quantity 
Top Side],EBOM49[Group],H38,EBOM49[SMD/THT],"SMD")</f>
        <v>0</v>
      </c>
      <c r="J38" s="1204">
        <f>SUMIFS(EBOM49[Quantity 
Bottom Side],EBOM49[SMD/THT],"SMD",EBOM49[Group],H38)</f>
        <v>0</v>
      </c>
    </row>
    <row r="39" spans="1:11" ht="25.9" customHeight="1"/>
    <row r="40" spans="1:11" ht="25.9" customHeight="1"/>
    <row r="41" spans="1:11" ht="25.9" customHeight="1"/>
    <row r="42" spans="1:11" ht="25.9" customHeight="1"/>
    <row r="43" spans="1:11" ht="25.9" customHeight="1"/>
    <row r="44" spans="1:11" ht="25.9" hidden="1" customHeight="1" thickBot="1">
      <c r="A44" s="1205" t="s">
        <v>4009</v>
      </c>
      <c r="B44" s="1206"/>
      <c r="C44" s="1206"/>
      <c r="D44" s="1206"/>
      <c r="E44" s="1206"/>
      <c r="F44" s="1206"/>
      <c r="G44" s="1206"/>
      <c r="H44" s="1206"/>
      <c r="I44" s="1206"/>
      <c r="J44" s="1206"/>
      <c r="K44" s="1207"/>
    </row>
    <row r="45" spans="1:11" ht="25.9" hidden="1" customHeight="1">
      <c r="A45" s="1208" t="s">
        <v>4009</v>
      </c>
      <c r="H45" s="1191" t="s">
        <v>4008</v>
      </c>
      <c r="I45" s="1192" t="str">
        <f>H25</f>
        <v>TOP SIDE</v>
      </c>
      <c r="J45" s="1193" t="str">
        <f>K25</f>
        <v>BOTTOM SIDE</v>
      </c>
      <c r="K45" s="1201"/>
    </row>
    <row r="46" spans="1:11" ht="25.9" hidden="1" customHeight="1">
      <c r="A46" s="1208" t="s">
        <v>4009</v>
      </c>
      <c r="H46" s="1194" t="s">
        <v>3555</v>
      </c>
      <c r="I46" s="1152">
        <f>SUMIFS(EBOM49[Quantity 
Top Side],EBOM49[SMD/THT],"SMD",EBOM49[Type],H46)</f>
        <v>0</v>
      </c>
      <c r="J46" s="1195">
        <f>SUMIFS(EBOM49[Quantity 
Bottom Side],EBOM49[SMD/THT],"SMD",EBOM49[Type],"Widerstand")</f>
        <v>0</v>
      </c>
      <c r="K46" s="1201"/>
    </row>
    <row r="47" spans="1:11" ht="25.9" hidden="1" customHeight="1">
      <c r="A47" s="1208" t="s">
        <v>4009</v>
      </c>
      <c r="H47" s="1194" t="s">
        <v>3553</v>
      </c>
      <c r="I47" s="1152">
        <f>SUMIFS(EBOM49[Quantity 
Top Side],EBOM49[SMD/THT],"SMD",EBOM49[Type],H47)</f>
        <v>0</v>
      </c>
      <c r="J47" s="1195">
        <f>SUMIFS(EBOM49[Quantity 
Bottom Side],EBOM49[SMD/THT],"SMD",EBOM49[Type],"Kondensator")</f>
        <v>0</v>
      </c>
      <c r="K47" s="1201"/>
    </row>
    <row r="48" spans="1:11" ht="25.9" hidden="1" customHeight="1">
      <c r="A48" s="1208" t="s">
        <v>4009</v>
      </c>
      <c r="H48" s="1194" t="s">
        <v>3545</v>
      </c>
      <c r="I48" s="1152">
        <f>SUMIFS(EBOM49[Quantity 
Top Side],EBOM49[SMD/THT],"SMD",EBOM49[Source],"Shortlist")+SUMIFS(EBOM49[Quantity 
Top Side],EBOM49[SMD/THT],"SMD",EBOM49[Source],"Standard")-I47-I46</f>
        <v>0</v>
      </c>
      <c r="J48" s="1195">
        <f>SUMIFS(EBOM49[Quantity 
Bottom Side],EBOM49[SMD/THT],"SMD",EBOM49[Source],"Standard")-J47-J46</f>
        <v>0</v>
      </c>
      <c r="K48" s="1201"/>
    </row>
    <row r="49" spans="1:20" ht="25.9" hidden="1" customHeight="1">
      <c r="A49" s="1208" t="s">
        <v>4009</v>
      </c>
      <c r="H49" s="1194" t="s">
        <v>3546</v>
      </c>
      <c r="I49" s="1152">
        <f>I26-I46-I47-I48-I50</f>
        <v>0</v>
      </c>
      <c r="J49" s="1195">
        <f>L26-J46-J47-J48-J50</f>
        <v>0</v>
      </c>
      <c r="K49" s="1201"/>
    </row>
    <row r="50" spans="1:20" ht="25.9" hidden="1" customHeight="1" thickBot="1">
      <c r="A50" s="1208" t="s">
        <v>4009</v>
      </c>
      <c r="H50" s="1196" t="s">
        <v>3547</v>
      </c>
      <c r="I50" s="1197">
        <f>I51+I52</f>
        <v>0</v>
      </c>
      <c r="J50" s="1198">
        <f>J51+J52</f>
        <v>0</v>
      </c>
      <c r="K50" s="1201"/>
    </row>
    <row r="51" spans="1:20" ht="25.9" hidden="1" customHeight="1">
      <c r="A51" s="1208" t="s">
        <v>4009</v>
      </c>
      <c r="H51" s="1199" t="s">
        <v>3499</v>
      </c>
      <c r="I51" s="1144">
        <f>SUMIFS(EBOM49[Quantity 
Top Side],EBOM49[SMD/THT],"SMD",EBOM49[Group],H51)</f>
        <v>0</v>
      </c>
      <c r="J51" s="1201">
        <f>SUMIFS(EBOM49[Quantity 
Bottom Side],EBOM49[SMD/THT],"SMD",EBOM49[Group],H51)</f>
        <v>0</v>
      </c>
      <c r="K51" s="1201"/>
    </row>
    <row r="52" spans="1:20" ht="25.9" hidden="1" customHeight="1">
      <c r="A52" s="1208" t="s">
        <v>4009</v>
      </c>
      <c r="H52" s="1202" t="s">
        <v>3535</v>
      </c>
      <c r="I52" s="1209">
        <f>SUMIFS(EBOM49[Quantity 
Top Side],EBOM49[SMD/THT],"SMD",EBOM49[Group],H52)</f>
        <v>0</v>
      </c>
      <c r="J52" s="1204">
        <f>SUMIFS(EBOM49[Quantity 
Bottom Side],EBOM49[SMD/THT],"SMD",EBOM49[Group],H52)</f>
        <v>0</v>
      </c>
      <c r="K52" s="1201"/>
    </row>
    <row r="53" spans="1:20" ht="25.9" hidden="1" customHeight="1">
      <c r="A53" s="1208" t="s">
        <v>4009</v>
      </c>
      <c r="K53" s="1201"/>
    </row>
    <row r="54" spans="1:20" ht="25.9" hidden="1" customHeight="1">
      <c r="A54" s="1208" t="s">
        <v>4009</v>
      </c>
      <c r="K54" s="1201"/>
    </row>
    <row r="55" spans="1:20" ht="25.9" hidden="1" customHeight="1">
      <c r="A55" s="1208" t="s">
        <v>4009</v>
      </c>
      <c r="K55" s="1201"/>
    </row>
    <row r="56" spans="1:20" ht="25.9" hidden="1" customHeight="1">
      <c r="A56" s="1208" t="s">
        <v>4009</v>
      </c>
      <c r="K56" s="1201"/>
    </row>
    <row r="57" spans="1:20" ht="25.9" hidden="1" customHeight="1">
      <c r="A57" s="1208" t="s">
        <v>4009</v>
      </c>
      <c r="K57" s="1201"/>
    </row>
    <row r="58" spans="1:20" ht="25.9" hidden="1" customHeight="1">
      <c r="A58" s="1208" t="s">
        <v>4009</v>
      </c>
      <c r="B58" s="1323" t="s">
        <v>4010</v>
      </c>
      <c r="C58" s="1324"/>
      <c r="K58" s="1201"/>
    </row>
    <row r="59" spans="1:20" ht="25.9" hidden="1" customHeight="1">
      <c r="A59" s="1208" t="s">
        <v>4009</v>
      </c>
      <c r="B59" s="1211" t="s">
        <v>4011</v>
      </c>
      <c r="C59" s="1212" t="s">
        <v>3509</v>
      </c>
      <c r="D59" s="1211" t="s">
        <v>3467</v>
      </c>
      <c r="F59" s="1212" t="s">
        <v>3553</v>
      </c>
      <c r="G59" s="1212" t="s">
        <v>3555</v>
      </c>
      <c r="H59" s="1212" t="s">
        <v>3490</v>
      </c>
      <c r="I59" s="1212" t="s">
        <v>3552</v>
      </c>
      <c r="J59" s="1212" t="s">
        <v>3554</v>
      </c>
      <c r="K59" s="1201"/>
      <c r="Q59" s="1213"/>
      <c r="T59" s="1144"/>
    </row>
    <row r="60" spans="1:20" ht="25.9" hidden="1" customHeight="1">
      <c r="A60" s="1208" t="s">
        <v>4009</v>
      </c>
      <c r="B60" s="1214" t="s">
        <v>3533</v>
      </c>
      <c r="C60" s="1144" t="s">
        <v>3552</v>
      </c>
      <c r="D60" s="1214" t="s">
        <v>3486</v>
      </c>
      <c r="F60" s="1144" t="s">
        <v>4012</v>
      </c>
      <c r="G60" s="1210" t="s">
        <v>4012</v>
      </c>
      <c r="H60" s="1144" t="s">
        <v>4013</v>
      </c>
      <c r="I60" s="1144" t="s">
        <v>4012</v>
      </c>
      <c r="J60" s="1144" t="s">
        <v>4012</v>
      </c>
      <c r="K60" s="1201"/>
      <c r="Q60" s="1213"/>
      <c r="T60" s="1144"/>
    </row>
    <row r="61" spans="1:20" ht="25.9" hidden="1" customHeight="1">
      <c r="A61" s="1208" t="s">
        <v>4009</v>
      </c>
      <c r="B61" s="1214" t="s">
        <v>3534</v>
      </c>
      <c r="C61" s="1144" t="s">
        <v>3553</v>
      </c>
      <c r="D61" s="1214" t="s">
        <v>3493</v>
      </c>
      <c r="F61" s="1144" t="s">
        <v>4014</v>
      </c>
      <c r="G61" s="1210" t="s">
        <v>4014</v>
      </c>
      <c r="H61" s="1144" t="s">
        <v>4015</v>
      </c>
      <c r="I61" s="1144" t="s">
        <v>4014</v>
      </c>
      <c r="J61" s="1144" t="s">
        <v>4014</v>
      </c>
      <c r="K61" s="1201"/>
      <c r="Q61" s="1213"/>
      <c r="T61" s="1144"/>
    </row>
    <row r="62" spans="1:20" ht="25.9" hidden="1" customHeight="1">
      <c r="A62" s="1208" t="s">
        <v>4009</v>
      </c>
      <c r="B62" s="1214" t="s">
        <v>3499</v>
      </c>
      <c r="C62" s="1144" t="s">
        <v>3554</v>
      </c>
      <c r="D62" s="1214" t="s">
        <v>3494</v>
      </c>
      <c r="F62" s="1144" t="s">
        <v>4016</v>
      </c>
      <c r="G62" s="1210" t="s">
        <v>4016</v>
      </c>
      <c r="H62" s="1144" t="s">
        <v>4017</v>
      </c>
      <c r="I62" s="1144" t="s">
        <v>4016</v>
      </c>
      <c r="J62" s="1144" t="s">
        <v>4016</v>
      </c>
      <c r="K62" s="1201"/>
      <c r="Q62" s="1213"/>
      <c r="T62" s="1144"/>
    </row>
    <row r="63" spans="1:20" ht="25.9" hidden="1" customHeight="1">
      <c r="A63" s="1208" t="s">
        <v>4009</v>
      </c>
      <c r="B63" s="1214" t="s">
        <v>3559</v>
      </c>
      <c r="C63" s="1144" t="s">
        <v>3555</v>
      </c>
      <c r="D63" s="1214" t="s">
        <v>3543</v>
      </c>
      <c r="F63" s="1144" t="s">
        <v>4018</v>
      </c>
      <c r="G63" s="1210" t="s">
        <v>4018</v>
      </c>
      <c r="H63" s="1144" t="s">
        <v>4019</v>
      </c>
      <c r="I63" s="1144" t="s">
        <v>4018</v>
      </c>
      <c r="J63" s="1144" t="s">
        <v>4018</v>
      </c>
      <c r="K63" s="1201"/>
      <c r="Q63" s="1213"/>
      <c r="T63" s="1144"/>
    </row>
    <row r="64" spans="1:20" ht="25.9" hidden="1" customHeight="1">
      <c r="A64" s="1208" t="s">
        <v>4009</v>
      </c>
      <c r="B64" s="1214" t="s">
        <v>3535</v>
      </c>
      <c r="C64" s="1144" t="s">
        <v>3490</v>
      </c>
      <c r="D64" s="1214"/>
      <c r="F64" s="1144" t="s">
        <v>4020</v>
      </c>
      <c r="G64" s="1210" t="s">
        <v>4020</v>
      </c>
      <c r="H64" s="1144" t="s">
        <v>4021</v>
      </c>
      <c r="K64" s="1201"/>
      <c r="Q64" s="1213"/>
      <c r="T64" s="1144"/>
    </row>
    <row r="65" spans="1:20" ht="25.9" hidden="1" customHeight="1">
      <c r="A65" s="1208" t="s">
        <v>4009</v>
      </c>
      <c r="B65" s="1214" t="s">
        <v>3536</v>
      </c>
      <c r="C65" s="1144" t="s">
        <v>3556</v>
      </c>
      <c r="D65" s="1214"/>
      <c r="G65" s="1210" t="s">
        <v>4022</v>
      </c>
      <c r="H65" s="1144" t="s">
        <v>4023</v>
      </c>
      <c r="K65" s="1201"/>
      <c r="Q65" s="1213"/>
      <c r="T65" s="1144"/>
    </row>
    <row r="66" spans="1:20" ht="25.9" hidden="1" customHeight="1">
      <c r="A66" s="1208" t="s">
        <v>4009</v>
      </c>
      <c r="B66" s="1214" t="s">
        <v>3537</v>
      </c>
      <c r="C66" s="1144" t="s">
        <v>3557</v>
      </c>
      <c r="D66" s="1214"/>
      <c r="G66" s="1210" t="s">
        <v>4024</v>
      </c>
      <c r="H66" s="1144" t="s">
        <v>4025</v>
      </c>
      <c r="K66" s="1201"/>
      <c r="Q66" s="1213"/>
      <c r="T66" s="1144"/>
    </row>
    <row r="67" spans="1:20" ht="25.9" hidden="1" customHeight="1">
      <c r="A67" s="1208" t="s">
        <v>4009</v>
      </c>
      <c r="B67" s="1214" t="s">
        <v>3506</v>
      </c>
      <c r="C67" s="1144" t="s">
        <v>3558</v>
      </c>
      <c r="D67" s="1214"/>
      <c r="H67" s="1144" t="s">
        <v>4026</v>
      </c>
      <c r="K67" s="1201"/>
      <c r="Q67" s="1213"/>
      <c r="T67" s="1144"/>
    </row>
    <row r="68" spans="1:20" ht="25.9" hidden="1" customHeight="1">
      <c r="A68" s="1208" t="s">
        <v>4009</v>
      </c>
      <c r="B68" s="1215" t="s">
        <v>667</v>
      </c>
      <c r="C68" s="1144" t="s">
        <v>3559</v>
      </c>
      <c r="D68" s="1215"/>
      <c r="H68" s="1144" t="s">
        <v>4028</v>
      </c>
      <c r="K68" s="1201"/>
      <c r="Q68" s="1213"/>
      <c r="T68" s="1144"/>
    </row>
    <row r="69" spans="1:20" ht="25.9" hidden="1" customHeight="1">
      <c r="A69" s="1208" t="s">
        <v>4009</v>
      </c>
      <c r="H69" s="1144" t="s">
        <v>4029</v>
      </c>
      <c r="K69" s="1201"/>
      <c r="Q69" s="1213"/>
      <c r="T69" s="1144"/>
    </row>
    <row r="70" spans="1:20" ht="25.9" hidden="1" customHeight="1">
      <c r="A70" s="1208" t="s">
        <v>4009</v>
      </c>
      <c r="B70" s="1144" t="s">
        <v>54</v>
      </c>
      <c r="C70" s="1144" t="str">
        <f>IF(Language="EN","Please enter price","Bitte Preis eintragen")</f>
        <v>Please enter price</v>
      </c>
      <c r="H70" s="1144" t="s">
        <v>4030</v>
      </c>
      <c r="K70" s="1201"/>
      <c r="Q70" s="1213"/>
      <c r="T70" s="1144"/>
    </row>
    <row r="71" spans="1:20" ht="25.9" hidden="1" customHeight="1">
      <c r="A71" s="1208" t="s">
        <v>4009</v>
      </c>
      <c r="H71" s="1144" t="s">
        <v>4031</v>
      </c>
      <c r="K71" s="1201"/>
      <c r="Q71" s="1213"/>
      <c r="T71" s="1144"/>
    </row>
    <row r="72" spans="1:20" ht="25.9" hidden="1" customHeight="1">
      <c r="A72" s="1208" t="s">
        <v>4009</v>
      </c>
      <c r="H72" s="1144" t="s">
        <v>4032</v>
      </c>
      <c r="K72" s="1201"/>
      <c r="Q72" s="1213"/>
      <c r="T72" s="1144"/>
    </row>
    <row r="73" spans="1:20" ht="25.9" hidden="1" customHeight="1">
      <c r="A73" s="1216" t="s">
        <v>4009</v>
      </c>
      <c r="B73" s="1209"/>
      <c r="C73" s="1209"/>
      <c r="D73" s="1209"/>
      <c r="E73" s="1209"/>
      <c r="F73" s="1209"/>
      <c r="G73" s="1209"/>
      <c r="H73" s="1209"/>
      <c r="I73" s="1209"/>
      <c r="J73" s="1209"/>
      <c r="K73" s="1204"/>
      <c r="Q73" s="1213"/>
      <c r="T73" s="1144"/>
    </row>
    <row r="74" spans="1:20" ht="25.9" customHeight="1"/>
    <row r="75" spans="1:20" ht="25.9" customHeight="1"/>
    <row r="76" spans="1:20" ht="25.9" customHeight="1"/>
    <row r="77" spans="1:20" ht="25.9" customHeight="1"/>
  </sheetData>
  <mergeCells count="4">
    <mergeCell ref="U2:U3"/>
    <mergeCell ref="H25:I25"/>
    <mergeCell ref="K25:L25"/>
    <mergeCell ref="B58:C58"/>
  </mergeCells>
  <conditionalFormatting sqref="T17:T22 R9:R10">
    <cfRule type="cellIs" dxfId="903" priority="11" operator="greaterThan">
      <formula>5</formula>
    </cfRule>
  </conditionalFormatting>
  <conditionalFormatting sqref="J3:L3">
    <cfRule type="cellIs" dxfId="902" priority="10" operator="equal">
      <formula>""</formula>
    </cfRule>
  </conditionalFormatting>
  <conditionalFormatting sqref="O7:O22">
    <cfRule type="cellIs" dxfId="901" priority="9" operator="equal">
      <formula>"[Link]"</formula>
    </cfRule>
  </conditionalFormatting>
  <conditionalFormatting sqref="H3">
    <cfRule type="cellIs" dxfId="900" priority="8" operator="equal">
      <formula>""</formula>
    </cfRule>
  </conditionalFormatting>
  <conditionalFormatting sqref="M7:M22">
    <cfRule type="expression" dxfId="899" priority="7">
      <formula>AND(NOT(ISBLANK(C7)),ISBLANK(M7))</formula>
    </cfRule>
  </conditionalFormatting>
  <conditionalFormatting sqref="R6">
    <cfRule type="cellIs" dxfId="898" priority="6" operator="greaterThan">
      <formula>5</formula>
    </cfRule>
  </conditionalFormatting>
  <conditionalFormatting sqref="O6">
    <cfRule type="cellIs" dxfId="897" priority="5" operator="equal">
      <formula>"[Link]"</formula>
    </cfRule>
  </conditionalFormatting>
  <conditionalFormatting sqref="M6">
    <cfRule type="expression" dxfId="896" priority="4">
      <formula>AND(NOT(ISBLANK(C6)),ISBLANK(M6))</formula>
    </cfRule>
  </conditionalFormatting>
  <conditionalFormatting sqref="W3">
    <cfRule type="cellIs" dxfId="895" priority="3" operator="equal">
      <formula>""</formula>
    </cfRule>
  </conditionalFormatting>
  <conditionalFormatting sqref="T3">
    <cfRule type="cellIs" dxfId="894" priority="2" operator="equal">
      <formula>""</formula>
    </cfRule>
  </conditionalFormatting>
  <conditionalFormatting sqref="T22">
    <cfRule type="cellIs" dxfId="893" priority="1" operator="greaterThan">
      <formula>5</formula>
    </cfRule>
  </conditionalFormatting>
  <dataValidations count="8">
    <dataValidation type="list" allowBlank="1" showInputMessage="1" prompt="andere Eingaben möglich - im Dropdown sind die häufigsten aufgelistet" sqref="N6:N22" xr:uid="{965C9A69-014B-4959-ADBE-D05B7C1C8063}">
      <formula1>IF(OR(C6=$F$59,C6=$G$59,C6=$H$59,C6=$I$59,C6=$J$59),INDIRECT("tbl_Code_housing["&amp;C6&amp;"]"),NA())</formula1>
    </dataValidation>
    <dataValidation type="list" allowBlank="1" showInputMessage="1" prompt="andere Eingaben möglich - im Dropdown sind die häufigsten aufgelistet" sqref="C8:C22" xr:uid="{2A78FCA8-B312-43DD-8EDE-4A72F907AE71}">
      <formula1>$C$60:$C$68</formula1>
    </dataValidation>
    <dataValidation type="list" errorStyle="warning" allowBlank="1" showInputMessage="1" showErrorMessage="1" sqref="H6:H22" xr:uid="{FE31D76F-BAF0-4AAC-ACF5-3C78DDE4DEBA}">
      <formula1>$D$60:$D$63</formula1>
    </dataValidation>
    <dataValidation type="list" allowBlank="1" sqref="O6:O22" xr:uid="{948ECF8D-BB52-41A7-B689-43F951773ABB}">
      <formula1>"[Link],Standard,Shortlist"</formula1>
    </dataValidation>
    <dataValidation type="list" allowBlank="1" showInputMessage="1" showErrorMessage="1" sqref="B9:B15 B17:B22" xr:uid="{D89A6039-7A1E-4863-8288-7EF1058BB699}">
      <formula1>$B$60:$B$68</formula1>
    </dataValidation>
    <dataValidation allowBlank="1" prompt="andere Eingaben möglich - im Dropdown sind die häufigsten aufgelistet" sqref="C6:C7" xr:uid="{A8D3ADDF-682E-4F3D-AF73-BFD1E48131AF}"/>
    <dataValidation type="list" allowBlank="1" showInputMessage="1" showErrorMessage="1" sqref="H4" xr:uid="{211B455F-5BB0-492D-A625-186E4633DD80}">
      <formula1>"2-layers,4-layers,6-layers,8-layers,10-layers,12-layers"</formula1>
    </dataValidation>
    <dataValidation type="list" allowBlank="1" showInputMessage="1" showErrorMessage="1" sqref="G4 L3" xr:uid="{7A04CF29-8A25-40C0-8DFE-E1C92593859F}">
      <formula1>"Standard,HDI, HiFr,IMS (Aluminum)"</formula1>
    </dataValidation>
  </dataValidation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1"/>
  <headerFooter alignWithMargins="0">
    <oddFooter>Seite &amp;P von &amp;N</oddFooter>
  </headerFooter>
  <drawing r:id="rId2"/>
  <legacyDrawing r:id="rId3"/>
  <tableParts count="3">
    <tablePart r:id="rId4"/>
    <tablePart r:id="rId5"/>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95ECD-FB24-4308-AD95-7B7E1A14E58D}">
  <sheetPr codeName="Tabelle4">
    <outlinePr summaryBelow="0" summaryRight="0"/>
    <pageSetUpPr fitToPage="1"/>
  </sheetPr>
  <dimension ref="A1:AB81"/>
  <sheetViews>
    <sheetView showGridLines="0" showZeros="0" zoomScale="90" zoomScaleNormal="90" workbookViewId="0">
      <pane xSplit="6" ySplit="5" topLeftCell="G6" activePane="bottomRight" state="frozen"/>
      <selection pane="topRight" activeCell="G1" sqref="G1"/>
      <selection pane="bottomLeft" activeCell="A6" sqref="A6"/>
      <selection pane="bottomRight" activeCell="T1" sqref="T1:T1048576"/>
    </sheetView>
  </sheetViews>
  <sheetFormatPr baseColWidth="10" defaultColWidth="12.28515625" defaultRowHeight="11.25"/>
  <cols>
    <col min="1" max="1" width="6.28515625" style="1144" customWidth="1"/>
    <col min="2" max="3" width="17.28515625" style="1144" customWidth="1"/>
    <col min="4" max="4" width="25.42578125" style="1144" customWidth="1"/>
    <col min="5" max="7" width="11.7109375" style="1144" customWidth="1"/>
    <col min="8" max="12" width="22.85546875" style="1144" customWidth="1"/>
    <col min="13" max="13" width="26.7109375" style="1144" customWidth="1"/>
    <col min="14" max="14" width="27.42578125" style="1144" customWidth="1"/>
    <col min="15" max="15" width="28.28515625" style="1144" customWidth="1"/>
    <col min="16" max="16" width="21.28515625" style="1144" customWidth="1"/>
    <col min="17" max="17" width="21.28515625" style="1144" hidden="1" customWidth="1"/>
    <col min="18" max="18" width="20" style="1145" customWidth="1"/>
    <col min="19" max="19" width="11.7109375" style="1146" customWidth="1"/>
    <col min="20" max="20" width="6.85546875" style="1146" hidden="1" customWidth="1"/>
    <col min="21" max="25" width="16.28515625" style="1144" customWidth="1"/>
    <col min="26" max="26" width="28.5703125" style="1144" customWidth="1"/>
    <col min="27" max="16384" width="12.28515625" style="1144"/>
  </cols>
  <sheetData>
    <row r="1" spans="1:28" ht="10.9" customHeight="1"/>
    <row r="2" spans="1:28" ht="10.9" customHeight="1">
      <c r="C2" s="1147" t="s">
        <v>3527</v>
      </c>
      <c r="H2" s="1147" t="s">
        <v>3526</v>
      </c>
      <c r="J2" s="1147" t="s">
        <v>3315</v>
      </c>
      <c r="K2" s="1147" t="s">
        <v>3316</v>
      </c>
      <c r="L2" s="1147" t="s">
        <v>3528</v>
      </c>
      <c r="M2" s="1147" t="s">
        <v>3529</v>
      </c>
      <c r="N2" s="1147" t="s">
        <v>3530</v>
      </c>
      <c r="O2" s="1148" t="s">
        <v>3531</v>
      </c>
      <c r="T2" s="1149" t="s">
        <v>3549</v>
      </c>
      <c r="U2" s="1321" t="str" cm="1">
        <f t="array" aca="1" ref="U2" ca="1">IFERROR(IF(GetUserDomain()="AWS",HYPERLINK("M:\02 WD\02 Technologien\23 Elektronik - Elektrik\98 Taskforce EE\02 Materialkosten (Degression, C-Teile)\Degression","Info"),""),"")</f>
        <v/>
      </c>
      <c r="W2" s="1147" t="s">
        <v>3580</v>
      </c>
    </row>
    <row r="3" spans="1:28" ht="10.9" customHeight="1">
      <c r="C3" s="1150">
        <f>Y27</f>
        <v>2.3572328069219211</v>
      </c>
      <c r="H3" s="1151">
        <v>800000</v>
      </c>
      <c r="J3" s="1152">
        <v>30</v>
      </c>
      <c r="K3" s="1152">
        <v>17</v>
      </c>
      <c r="L3" s="1152" t="s">
        <v>4006</v>
      </c>
      <c r="M3" s="1152">
        <v>0.746</v>
      </c>
      <c r="N3" s="1153">
        <f>IFERROR(SUMPRODUCT(EBOM52[Quantity 
Total],EBOM52[No of Pins/Pads])/((J3*K3)/100),0)</f>
        <v>34.117647058823529</v>
      </c>
      <c r="O3" s="1153">
        <f>(1*1*0.2*8.4/1000)*SUMPRODUCT(EBOM52[No of Pins/Pads],EBOM52[Quantity 
Total])</f>
        <v>0.29232000000000002</v>
      </c>
      <c r="T3" s="1154">
        <v>0.8</v>
      </c>
      <c r="U3" s="1321"/>
      <c r="W3" s="1155">
        <v>0.64</v>
      </c>
    </row>
    <row r="4" spans="1:28" ht="10.9" customHeight="1">
      <c r="E4" s="1156"/>
      <c r="F4" s="1156"/>
      <c r="G4" s="1156"/>
      <c r="H4" s="1156"/>
      <c r="I4" s="1156"/>
      <c r="J4" s="1156"/>
      <c r="K4" s="1156"/>
    </row>
    <row r="5" spans="1:28" s="1161" customFormat="1" ht="25.9" customHeight="1">
      <c r="A5" s="1157" t="s">
        <v>76</v>
      </c>
      <c r="B5" s="1158" t="s">
        <v>3508</v>
      </c>
      <c r="C5" s="1158" t="s">
        <v>3509</v>
      </c>
      <c r="D5" s="1158" t="s">
        <v>3510</v>
      </c>
      <c r="E5" s="1158" t="s">
        <v>3511</v>
      </c>
      <c r="F5" s="1158" t="s">
        <v>3575</v>
      </c>
      <c r="G5" s="1158" t="s">
        <v>3512</v>
      </c>
      <c r="H5" s="1158" t="s">
        <v>3467</v>
      </c>
      <c r="I5" s="1158" t="s">
        <v>69</v>
      </c>
      <c r="J5" s="1158" t="s">
        <v>3513</v>
      </c>
      <c r="K5" s="1158" t="s">
        <v>3514</v>
      </c>
      <c r="L5" s="1158" t="s">
        <v>3515</v>
      </c>
      <c r="M5" s="1158" t="s">
        <v>3516</v>
      </c>
      <c r="N5" s="1158" t="s">
        <v>3517</v>
      </c>
      <c r="O5" s="1158" t="s">
        <v>915</v>
      </c>
      <c r="P5" s="1158" t="s">
        <v>3518</v>
      </c>
      <c r="Q5" s="1158" t="s">
        <v>3551</v>
      </c>
      <c r="R5" s="1159" t="s">
        <v>3519</v>
      </c>
      <c r="S5" s="1158" t="s">
        <v>3550</v>
      </c>
      <c r="T5" s="1158" t="s">
        <v>3549</v>
      </c>
      <c r="U5" s="1158" t="s">
        <v>3360</v>
      </c>
      <c r="V5" s="1158" t="s">
        <v>3520</v>
      </c>
      <c r="W5" s="1158" t="s">
        <v>3521</v>
      </c>
      <c r="X5" s="1158" t="s">
        <v>3522</v>
      </c>
      <c r="Y5" s="1158" t="s">
        <v>3527</v>
      </c>
      <c r="Z5" s="1160" t="s">
        <v>3523</v>
      </c>
    </row>
    <row r="6" spans="1:28" ht="25.9" customHeight="1">
      <c r="A6" s="1162"/>
      <c r="B6" s="1163" t="s">
        <v>4007</v>
      </c>
      <c r="C6" s="1163"/>
      <c r="D6" s="1163"/>
      <c r="E6" s="1152"/>
      <c r="F6" s="1152"/>
      <c r="G6" s="1153"/>
      <c r="H6" s="1152"/>
      <c r="I6" s="1163"/>
      <c r="J6" s="1164"/>
      <c r="K6" s="1163"/>
      <c r="L6" s="1163"/>
      <c r="M6" s="1163"/>
      <c r="N6" s="1163"/>
      <c r="O6" s="1165"/>
      <c r="P6" s="1166"/>
      <c r="Q6" s="1166"/>
      <c r="R6" s="1167"/>
      <c r="S6" s="1168"/>
      <c r="T6" s="1169">
        <v>1</v>
      </c>
      <c r="U6" s="1170">
        <v>1</v>
      </c>
      <c r="V6" s="1170">
        <f t="shared" ref="V6:V26" si="0">R6*U6*T6</f>
        <v>0</v>
      </c>
      <c r="W6" s="1171"/>
      <c r="X6" s="1171"/>
      <c r="Y6" s="1172">
        <f>IF(OR(ISBLANK(M3),ISBLANK(K3),ISBLANK(J3)),"Bitte alle Felder ausfüllen",((J3*K3)/10000)*M3/W3)</f>
        <v>5.9446874999999996E-2</v>
      </c>
      <c r="Z6" s="1173"/>
      <c r="AA6" s="1161"/>
      <c r="AB6" s="1161"/>
    </row>
    <row r="7" spans="1:28" ht="25.9" customHeight="1">
      <c r="A7" s="1162"/>
      <c r="B7" s="1163" t="s">
        <v>3548</v>
      </c>
      <c r="C7" s="1163"/>
      <c r="D7" s="1163"/>
      <c r="E7" s="1152"/>
      <c r="F7" s="1152"/>
      <c r="G7" s="1153">
        <f>E7+F7</f>
        <v>0</v>
      </c>
      <c r="H7" s="1152"/>
      <c r="I7" s="1163"/>
      <c r="J7" s="1164"/>
      <c r="K7" s="1163"/>
      <c r="L7" s="1163"/>
      <c r="M7" s="1163"/>
      <c r="N7" s="1163"/>
      <c r="O7" s="1165"/>
      <c r="P7" s="1166"/>
      <c r="Q7" s="1166"/>
      <c r="R7" s="1167"/>
      <c r="S7" s="1168"/>
      <c r="T7" s="1169">
        <v>1</v>
      </c>
      <c r="U7" s="1170">
        <v>1</v>
      </c>
      <c r="V7" s="1170">
        <f t="shared" si="0"/>
        <v>0</v>
      </c>
      <c r="W7" s="1171">
        <f>E7*V7</f>
        <v>0</v>
      </c>
      <c r="X7" s="1171">
        <f>F7*V7</f>
        <v>0</v>
      </c>
      <c r="Y7" s="1171">
        <f>O3/1000*20</f>
        <v>5.8464000000000007E-3</v>
      </c>
      <c r="Z7" s="1173"/>
      <c r="AA7" s="1161"/>
      <c r="AB7" s="1161"/>
    </row>
    <row r="8" spans="1:28" ht="25.9" customHeight="1">
      <c r="A8" s="1174"/>
      <c r="B8" s="1175" t="s">
        <v>3524</v>
      </c>
      <c r="C8" s="1163"/>
      <c r="D8" s="1164"/>
      <c r="E8" s="1152"/>
      <c r="F8" s="1152"/>
      <c r="G8" s="1153">
        <f t="shared" ref="G8:G9" si="1">E8+F8</f>
        <v>0</v>
      </c>
      <c r="H8" s="1152"/>
      <c r="I8" s="1164"/>
      <c r="J8" s="1163"/>
      <c r="K8" s="1163"/>
      <c r="L8" s="1163"/>
      <c r="M8" s="1163"/>
      <c r="N8" s="1163"/>
      <c r="O8" s="1165"/>
      <c r="P8" s="1166"/>
      <c r="Q8" s="1166"/>
      <c r="R8" s="1167"/>
      <c r="S8" s="1168"/>
      <c r="T8" s="1169"/>
      <c r="U8" s="1170" cm="1">
        <f t="array" ref="U8">EBOM_Factor</f>
        <v>0</v>
      </c>
      <c r="V8" s="1170">
        <f t="shared" si="0"/>
        <v>0</v>
      </c>
      <c r="W8" s="1171"/>
      <c r="X8" s="1171"/>
      <c r="Y8" s="1171">
        <f t="shared" ref="Y8:Y9" si="2">X8+W8</f>
        <v>0</v>
      </c>
      <c r="Z8" s="1173"/>
      <c r="AA8" s="1161"/>
      <c r="AB8" s="1161"/>
    </row>
    <row r="9" spans="1:28" ht="25.9" customHeight="1">
      <c r="A9" s="1162">
        <f t="shared" ref="A9" si="3">ROW()-8</f>
        <v>1</v>
      </c>
      <c r="B9" s="1163" t="s">
        <v>3533</v>
      </c>
      <c r="C9" s="1163" t="s">
        <v>3555</v>
      </c>
      <c r="D9" s="1163">
        <v>0</v>
      </c>
      <c r="E9" s="1152">
        <v>12</v>
      </c>
      <c r="F9" s="1152"/>
      <c r="G9" s="1153">
        <f t="shared" si="1"/>
        <v>12</v>
      </c>
      <c r="H9" s="1152" t="s">
        <v>3486</v>
      </c>
      <c r="I9" s="1163"/>
      <c r="J9" s="1164"/>
      <c r="K9" s="1163"/>
      <c r="L9" s="1163"/>
      <c r="M9" s="1163">
        <v>2</v>
      </c>
      <c r="N9" s="1220" t="s">
        <v>4012</v>
      </c>
      <c r="O9" s="1165" t="s">
        <v>4006</v>
      </c>
      <c r="P9" s="1166">
        <v>0</v>
      </c>
      <c r="Q9" s="1166"/>
      <c r="R9" s="1167">
        <v>8.9999999999999998E-4</v>
      </c>
      <c r="S9" s="1168"/>
      <c r="T9" s="1169">
        <v>1</v>
      </c>
      <c r="U9" s="1170" cm="1">
        <f t="array" ref="U9">EBOM_Factor</f>
        <v>1</v>
      </c>
      <c r="V9" s="1170">
        <f t="shared" si="0"/>
        <v>8.9999999999999998E-4</v>
      </c>
      <c r="W9" s="1171">
        <f t="shared" ref="W9" si="4">E9*V9</f>
        <v>1.0800000000000001E-2</v>
      </c>
      <c r="X9" s="1171">
        <f t="shared" ref="X9" si="5">F9*V9</f>
        <v>0</v>
      </c>
      <c r="Y9" s="1171">
        <f t="shared" si="2"/>
        <v>1.0800000000000001E-2</v>
      </c>
      <c r="Z9" s="1173"/>
    </row>
    <row r="10" spans="1:28" ht="25.9" customHeight="1">
      <c r="A10" s="1162">
        <f>ROW()-8</f>
        <v>2</v>
      </c>
      <c r="B10" s="1163" t="s">
        <v>3533</v>
      </c>
      <c r="C10" s="1163" t="s">
        <v>3555</v>
      </c>
      <c r="D10" s="1163">
        <v>0</v>
      </c>
      <c r="E10" s="1152">
        <v>1</v>
      </c>
      <c r="F10" s="1152"/>
      <c r="G10" s="1153">
        <f>E10+F10</f>
        <v>1</v>
      </c>
      <c r="H10" s="1152" t="s">
        <v>3486</v>
      </c>
      <c r="I10" s="1163"/>
      <c r="J10" s="1164"/>
      <c r="K10" s="1163"/>
      <c r="L10" s="1163"/>
      <c r="M10" s="1163">
        <v>2</v>
      </c>
      <c r="N10" s="1220" t="s">
        <v>4016</v>
      </c>
      <c r="O10" s="1165" t="s">
        <v>4006</v>
      </c>
      <c r="P10" s="1166">
        <v>0</v>
      </c>
      <c r="Q10" s="1166"/>
      <c r="R10" s="1167">
        <v>5.1000000000000004E-3</v>
      </c>
      <c r="S10" s="1168"/>
      <c r="T10" s="1169">
        <v>1</v>
      </c>
      <c r="U10" s="1170" cm="1">
        <f t="array" ref="U10">EBOM_Factor</f>
        <v>1</v>
      </c>
      <c r="V10" s="1170">
        <f t="shared" si="0"/>
        <v>5.1000000000000004E-3</v>
      </c>
      <c r="W10" s="1171">
        <f>E10*V10</f>
        <v>5.1000000000000004E-3</v>
      </c>
      <c r="X10" s="1171">
        <f>F10*V10</f>
        <v>0</v>
      </c>
      <c r="Y10" s="1171">
        <f>X10+W10</f>
        <v>5.1000000000000004E-3</v>
      </c>
      <c r="Z10" s="1173"/>
    </row>
    <row r="11" spans="1:28" ht="25.9" customHeight="1">
      <c r="A11" s="1162">
        <f t="shared" ref="A11" si="6">ROW()-8</f>
        <v>3</v>
      </c>
      <c r="B11" s="1163" t="s">
        <v>3533</v>
      </c>
      <c r="C11" s="1163" t="s">
        <v>3553</v>
      </c>
      <c r="D11" s="1163">
        <v>0</v>
      </c>
      <c r="E11" s="1152">
        <v>31</v>
      </c>
      <c r="F11" s="1152"/>
      <c r="G11" s="1153">
        <f t="shared" ref="G11" si="7">E11+F11</f>
        <v>31</v>
      </c>
      <c r="H11" s="1152" t="s">
        <v>3486</v>
      </c>
      <c r="I11" s="1163"/>
      <c r="J11" s="1164"/>
      <c r="K11" s="1163"/>
      <c r="L11" s="1163"/>
      <c r="M11" s="1163">
        <v>2</v>
      </c>
      <c r="N11" s="1220" t="s">
        <v>4012</v>
      </c>
      <c r="O11" s="1165" t="s">
        <v>4006</v>
      </c>
      <c r="P11" s="1166">
        <v>0</v>
      </c>
      <c r="Q11" s="1166"/>
      <c r="R11" s="1167">
        <v>1.8E-3</v>
      </c>
      <c r="S11" s="1168"/>
      <c r="T11" s="1169">
        <v>1</v>
      </c>
      <c r="U11" s="1170" cm="1">
        <f t="array" ref="U11">EBOM_Factor</f>
        <v>1</v>
      </c>
      <c r="V11" s="1170">
        <f t="shared" si="0"/>
        <v>1.8E-3</v>
      </c>
      <c r="W11" s="1171">
        <f t="shared" ref="W11" si="8">E11*V11</f>
        <v>5.5799999999999995E-2</v>
      </c>
      <c r="X11" s="1171">
        <f t="shared" ref="X11" si="9">F11*V11</f>
        <v>0</v>
      </c>
      <c r="Y11" s="1171">
        <f t="shared" ref="Y11" si="10">X11+W11</f>
        <v>5.5799999999999995E-2</v>
      </c>
      <c r="Z11" s="1173"/>
    </row>
    <row r="12" spans="1:28" ht="25.9" customHeight="1">
      <c r="A12" s="1162">
        <f t="shared" ref="A12:A15" si="11">ROW()-8</f>
        <v>4</v>
      </c>
      <c r="B12" s="1163" t="s">
        <v>3499</v>
      </c>
      <c r="C12" s="1163" t="s">
        <v>4087</v>
      </c>
      <c r="D12" s="1164" t="s">
        <v>4110</v>
      </c>
      <c r="E12" s="1152">
        <v>1</v>
      </c>
      <c r="F12" s="1152"/>
      <c r="G12" s="1153">
        <f t="shared" ref="G12:G15" si="12">E12+F12</f>
        <v>1</v>
      </c>
      <c r="H12" s="1152" t="s">
        <v>3486</v>
      </c>
      <c r="I12" s="1163"/>
      <c r="J12" s="1164"/>
      <c r="K12" s="1163"/>
      <c r="L12" s="1163"/>
      <c r="M12" s="1163">
        <v>8</v>
      </c>
      <c r="N12" s="1220" t="s">
        <v>4108</v>
      </c>
      <c r="O12" s="1165" t="s">
        <v>4109</v>
      </c>
      <c r="P12" s="1166">
        <v>2000</v>
      </c>
      <c r="Q12" s="1166"/>
      <c r="R12" s="1167">
        <v>1.38351</v>
      </c>
      <c r="S12" s="1168"/>
      <c r="T12" s="1169">
        <f t="shared" ref="T12:T17" si="13">Project_Factor</f>
        <v>0.8</v>
      </c>
      <c r="U12" s="1170" cm="1">
        <f t="array" ref="U12">EBOM_Factor</f>
        <v>0.3504608431930436</v>
      </c>
      <c r="V12" s="1170">
        <f t="shared" ref="V12:V15" si="14">R12*U12*T12</f>
        <v>0.38789286493280623</v>
      </c>
      <c r="W12" s="1171">
        <f t="shared" ref="W12:W15" si="15">E12*V12</f>
        <v>0.38789286493280623</v>
      </c>
      <c r="X12" s="1171">
        <f t="shared" ref="X12:X15" si="16">F12*V12</f>
        <v>0</v>
      </c>
      <c r="Y12" s="1171">
        <f t="shared" ref="Y12:Y15" si="17">X12+W12</f>
        <v>0.38789286493280623</v>
      </c>
      <c r="Z12" s="1173"/>
    </row>
    <row r="13" spans="1:28" ht="25.9" customHeight="1">
      <c r="A13" s="1162">
        <f t="shared" si="11"/>
        <v>5</v>
      </c>
      <c r="B13" s="1163" t="s">
        <v>3499</v>
      </c>
      <c r="C13" s="1163" t="s">
        <v>4055</v>
      </c>
      <c r="D13" s="1164" t="s">
        <v>4111</v>
      </c>
      <c r="E13" s="1152">
        <v>1</v>
      </c>
      <c r="F13" s="1152"/>
      <c r="G13" s="1153">
        <f t="shared" si="12"/>
        <v>1</v>
      </c>
      <c r="H13" s="1152" t="s">
        <v>3486</v>
      </c>
      <c r="I13" s="1163"/>
      <c r="J13" s="1164"/>
      <c r="K13" s="1163"/>
      <c r="L13" s="1163"/>
      <c r="M13" s="1163">
        <v>68</v>
      </c>
      <c r="N13" s="1163" t="s">
        <v>4112</v>
      </c>
      <c r="O13" s="1165" t="s">
        <v>4113</v>
      </c>
      <c r="P13" s="1166">
        <v>1000</v>
      </c>
      <c r="Q13" s="1166"/>
      <c r="R13" s="1167">
        <v>4.51</v>
      </c>
      <c r="S13" s="1168"/>
      <c r="T13" s="1169">
        <f t="shared" si="13"/>
        <v>0.8</v>
      </c>
      <c r="U13" s="1170" cm="1">
        <f t="array" ref="U13">EBOM_Factor</f>
        <v>0.31042683161762363</v>
      </c>
      <c r="V13" s="1170">
        <f t="shared" si="14"/>
        <v>1.1200200084763861</v>
      </c>
      <c r="W13" s="1171">
        <f t="shared" si="15"/>
        <v>1.1200200084763861</v>
      </c>
      <c r="X13" s="1171">
        <f t="shared" si="16"/>
        <v>0</v>
      </c>
      <c r="Y13" s="1171">
        <f t="shared" si="17"/>
        <v>1.1200200084763861</v>
      </c>
      <c r="Z13" s="1173"/>
    </row>
    <row r="14" spans="1:28" ht="25.9" customHeight="1">
      <c r="A14" s="1162">
        <f t="shared" si="11"/>
        <v>6</v>
      </c>
      <c r="B14" s="1163" t="s">
        <v>3535</v>
      </c>
      <c r="C14" s="1163" t="s">
        <v>4114</v>
      </c>
      <c r="D14" s="1163"/>
      <c r="E14" s="1152">
        <v>1</v>
      </c>
      <c r="F14" s="1152"/>
      <c r="G14" s="1153">
        <f t="shared" si="12"/>
        <v>1</v>
      </c>
      <c r="H14" s="1152" t="s">
        <v>3486</v>
      </c>
      <c r="I14" s="1163"/>
      <c r="J14" s="1164"/>
      <c r="K14" s="1163"/>
      <c r="L14" s="1163"/>
      <c r="M14" s="1163">
        <v>6</v>
      </c>
      <c r="N14" s="1220" t="s">
        <v>4115</v>
      </c>
      <c r="O14" s="1165" t="s">
        <v>4116</v>
      </c>
      <c r="P14" s="1166">
        <v>1000</v>
      </c>
      <c r="Q14" s="1166"/>
      <c r="R14" s="1167">
        <v>7.7939999999999995E-2</v>
      </c>
      <c r="S14" s="1168"/>
      <c r="T14" s="1169">
        <f t="shared" si="13"/>
        <v>0.8</v>
      </c>
      <c r="U14" s="1170" cm="1">
        <f t="array" ref="U14">EBOM_Factor</f>
        <v>0.31042683161762363</v>
      </c>
      <c r="V14" s="1170">
        <f t="shared" si="14"/>
        <v>1.935573380502207E-2</v>
      </c>
      <c r="W14" s="1171">
        <f t="shared" si="15"/>
        <v>1.935573380502207E-2</v>
      </c>
      <c r="X14" s="1171">
        <f t="shared" si="16"/>
        <v>0</v>
      </c>
      <c r="Y14" s="1171">
        <f t="shared" si="17"/>
        <v>1.935573380502207E-2</v>
      </c>
      <c r="Z14" s="1173"/>
    </row>
    <row r="15" spans="1:28" ht="25.9" customHeight="1">
      <c r="A15" s="1162">
        <f t="shared" si="11"/>
        <v>7</v>
      </c>
      <c r="B15" s="1163" t="s">
        <v>3559</v>
      </c>
      <c r="C15" s="1163" t="s">
        <v>3559</v>
      </c>
      <c r="D15" s="1164" t="s">
        <v>4117</v>
      </c>
      <c r="E15" s="1152">
        <v>1</v>
      </c>
      <c r="F15" s="1152"/>
      <c r="G15" s="1153">
        <f t="shared" si="12"/>
        <v>1</v>
      </c>
      <c r="H15" s="1152" t="s">
        <v>3486</v>
      </c>
      <c r="I15" s="1163"/>
      <c r="J15" s="1164"/>
      <c r="K15" s="1163"/>
      <c r="L15" s="1163"/>
      <c r="M15" s="1163">
        <v>4</v>
      </c>
      <c r="N15" s="1163" t="s">
        <v>4118</v>
      </c>
      <c r="O15" s="1165" t="s">
        <v>4119</v>
      </c>
      <c r="P15" s="1166">
        <v>1000</v>
      </c>
      <c r="Q15" s="1166"/>
      <c r="R15" s="1167">
        <v>0.85348000000000002</v>
      </c>
      <c r="S15" s="1168"/>
      <c r="T15" s="1169">
        <f t="shared" si="13"/>
        <v>0.8</v>
      </c>
      <c r="U15" s="1170" cm="1">
        <f t="array" ref="U15">EBOM_Factor</f>
        <v>0.31042683161762363</v>
      </c>
      <c r="V15" s="1170">
        <f t="shared" si="14"/>
        <v>0.21195447379920754</v>
      </c>
      <c r="W15" s="1171">
        <f t="shared" si="15"/>
        <v>0.21195447379920754</v>
      </c>
      <c r="X15" s="1171">
        <f t="shared" si="16"/>
        <v>0</v>
      </c>
      <c r="Y15" s="1171">
        <f t="shared" si="17"/>
        <v>0.21195447379920754</v>
      </c>
      <c r="Z15" s="1173"/>
    </row>
    <row r="16" spans="1:28" ht="25.9" customHeight="1">
      <c r="A16" s="1162">
        <f>ROW()-8</f>
        <v>8</v>
      </c>
      <c r="B16" s="1163" t="s">
        <v>667</v>
      </c>
      <c r="C16" s="1163" t="s">
        <v>4120</v>
      </c>
      <c r="D16" s="1163"/>
      <c r="E16" s="1152">
        <v>1</v>
      </c>
      <c r="F16" s="1152"/>
      <c r="G16" s="1153">
        <f>E16+F16</f>
        <v>1</v>
      </c>
      <c r="H16" s="1152"/>
      <c r="I16" s="1163"/>
      <c r="J16" s="1164"/>
      <c r="K16" s="1163"/>
      <c r="L16" s="1163"/>
      <c r="M16" s="1163">
        <v>0</v>
      </c>
      <c r="N16" s="1163" t="s">
        <v>4121</v>
      </c>
      <c r="O16" s="1165" t="s">
        <v>4122</v>
      </c>
      <c r="P16" s="1166">
        <v>1000</v>
      </c>
      <c r="Q16" s="1166"/>
      <c r="R16" s="1167">
        <v>1.9369099999999999</v>
      </c>
      <c r="S16" s="1168"/>
      <c r="T16" s="1169">
        <f t="shared" si="13"/>
        <v>0.8</v>
      </c>
      <c r="U16" s="1170" cm="1">
        <f t="array" ref="U16">EBOM_Factor</f>
        <v>0.31042683161762363</v>
      </c>
      <c r="V16" s="1170">
        <f t="shared" si="0"/>
        <v>0.48101506754279311</v>
      </c>
      <c r="W16" s="1171">
        <f>E16*V16</f>
        <v>0.48101506754279311</v>
      </c>
      <c r="X16" s="1171">
        <f>F16*V16</f>
        <v>0</v>
      </c>
      <c r="Y16" s="1171">
        <f>X16+W16</f>
        <v>0.48101506754279311</v>
      </c>
      <c r="Z16" s="1173"/>
    </row>
    <row r="17" spans="1:26" ht="25.9" customHeight="1">
      <c r="A17" s="1162">
        <f t="shared" ref="A17:A19" si="18">ROW()-8</f>
        <v>9</v>
      </c>
      <c r="B17" s="1163" t="s">
        <v>667</v>
      </c>
      <c r="C17" s="1163" t="s">
        <v>4062</v>
      </c>
      <c r="D17" s="1163"/>
      <c r="E17" s="1152">
        <v>1</v>
      </c>
      <c r="F17" s="1152"/>
      <c r="G17" s="1153">
        <f t="shared" ref="G17" si="19">E17+F17</f>
        <v>1</v>
      </c>
      <c r="H17" s="1152"/>
      <c r="I17" s="1163"/>
      <c r="J17" s="1164"/>
      <c r="K17" s="1163"/>
      <c r="L17" s="1163"/>
      <c r="M17" s="1163">
        <v>0</v>
      </c>
      <c r="N17" s="1163" t="s">
        <v>4156</v>
      </c>
      <c r="O17" s="1165" t="s">
        <v>4063</v>
      </c>
      <c r="P17" s="1166">
        <v>5000</v>
      </c>
      <c r="Q17" s="1166"/>
      <c r="R17" s="1167">
        <f>Info!E26</f>
        <v>4.2030834728336132E-6</v>
      </c>
      <c r="S17" s="1168"/>
      <c r="T17" s="1169">
        <f t="shared" si="13"/>
        <v>0.8</v>
      </c>
      <c r="U17" s="1170" cm="1">
        <f t="array" ref="U17">EBOM_Factor</f>
        <v>0.4114139401538276</v>
      </c>
      <c r="V17" s="1170">
        <f t="shared" si="0"/>
        <v>1.3833657058831282E-6</v>
      </c>
      <c r="W17" s="1171">
        <f t="shared" ref="W17:W20" si="20">E17*V17</f>
        <v>1.3833657058831282E-6</v>
      </c>
      <c r="X17" s="1171">
        <f t="shared" ref="X17:X20" si="21">F17*V17</f>
        <v>0</v>
      </c>
      <c r="Y17" s="1171">
        <f t="shared" ref="Y17" si="22">X17+W17</f>
        <v>1.3833657058831282E-6</v>
      </c>
      <c r="Z17" s="1173"/>
    </row>
    <row r="18" spans="1:26" ht="25.9" customHeight="1">
      <c r="A18" s="1162">
        <f t="shared" si="18"/>
        <v>10</v>
      </c>
      <c r="B18" s="1163"/>
      <c r="C18" s="1163"/>
      <c r="D18" s="1163"/>
      <c r="E18" s="1152"/>
      <c r="F18" s="1152"/>
      <c r="G18" s="1153">
        <f>E18+F18</f>
        <v>0</v>
      </c>
      <c r="H18" s="1152"/>
      <c r="I18" s="1163"/>
      <c r="J18" s="1164"/>
      <c r="K18" s="1163"/>
      <c r="L18" s="1163"/>
      <c r="M18" s="1163"/>
      <c r="N18" s="1163"/>
      <c r="O18" s="1165"/>
      <c r="P18" s="1166"/>
      <c r="Q18" s="1166"/>
      <c r="R18" s="1167"/>
      <c r="S18" s="1168"/>
      <c r="T18" s="1169">
        <f t="shared" ref="T18" si="23">Project_Factor</f>
        <v>0.8</v>
      </c>
      <c r="U18" s="1170" cm="1">
        <f t="array" ref="U18">EBOM_Factor</f>
        <v>0</v>
      </c>
      <c r="V18" s="1170">
        <f t="shared" si="0"/>
        <v>0</v>
      </c>
      <c r="W18" s="1171">
        <f t="shared" si="20"/>
        <v>0</v>
      </c>
      <c r="X18" s="1171">
        <f t="shared" si="21"/>
        <v>0</v>
      </c>
      <c r="Y18" s="1171">
        <f>X18+W18</f>
        <v>0</v>
      </c>
      <c r="Z18" s="1173"/>
    </row>
    <row r="19" spans="1:26" ht="25.9" customHeight="1">
      <c r="A19" s="1162">
        <f t="shared" si="18"/>
        <v>11</v>
      </c>
      <c r="B19" s="1163"/>
      <c r="C19" s="1163"/>
      <c r="D19" s="1163"/>
      <c r="E19" s="1152"/>
      <c r="F19" s="1152"/>
      <c r="G19" s="1153">
        <f t="shared" ref="G19:G20" si="24">E19+F19</f>
        <v>0</v>
      </c>
      <c r="H19" s="1152"/>
      <c r="I19" s="1163"/>
      <c r="J19" s="1164"/>
      <c r="K19" s="1163"/>
      <c r="L19" s="1163"/>
      <c r="M19" s="1163"/>
      <c r="N19" s="1163"/>
      <c r="O19" s="1165"/>
      <c r="P19" s="1166"/>
      <c r="Q19" s="1166"/>
      <c r="R19" s="1167"/>
      <c r="S19" s="1168"/>
      <c r="T19" s="1169">
        <f t="shared" ref="T19" si="25">Project_Factor</f>
        <v>0.8</v>
      </c>
      <c r="U19" s="1170" cm="1">
        <f t="array" ref="U19">EBOM_Factor</f>
        <v>0</v>
      </c>
      <c r="V19" s="1170">
        <f t="shared" si="0"/>
        <v>0</v>
      </c>
      <c r="W19" s="1171">
        <f t="shared" si="20"/>
        <v>0</v>
      </c>
      <c r="X19" s="1171">
        <f t="shared" si="21"/>
        <v>0</v>
      </c>
      <c r="Y19" s="1171">
        <f t="shared" ref="Y19:Y20" si="26">X19+W19</f>
        <v>0</v>
      </c>
      <c r="Z19" s="1173"/>
    </row>
    <row r="20" spans="1:26" ht="25.9" customHeight="1">
      <c r="A20" s="1174"/>
      <c r="B20" s="1175" t="s">
        <v>3525</v>
      </c>
      <c r="C20" s="1163"/>
      <c r="D20" s="1164"/>
      <c r="E20" s="1152"/>
      <c r="F20" s="1152"/>
      <c r="G20" s="1153">
        <f t="shared" si="24"/>
        <v>0</v>
      </c>
      <c r="H20" s="1152"/>
      <c r="I20" s="1164"/>
      <c r="J20" s="1163"/>
      <c r="K20" s="1163"/>
      <c r="L20" s="1163"/>
      <c r="M20" s="1163"/>
      <c r="N20" s="1163"/>
      <c r="O20" s="1165"/>
      <c r="P20" s="1166"/>
      <c r="Q20" s="1166"/>
      <c r="R20" s="1167"/>
      <c r="S20" s="1168"/>
      <c r="T20" s="1169">
        <f t="shared" ref="T20" si="27">Project_Factor</f>
        <v>0.8</v>
      </c>
      <c r="U20" s="1170" cm="1">
        <f t="array" ref="U20">EBOM_Factor</f>
        <v>0</v>
      </c>
      <c r="V20" s="1170">
        <f t="shared" si="0"/>
        <v>0</v>
      </c>
      <c r="W20" s="1171">
        <f t="shared" si="20"/>
        <v>0</v>
      </c>
      <c r="X20" s="1171">
        <f t="shared" si="21"/>
        <v>0</v>
      </c>
      <c r="Y20" s="1171">
        <f t="shared" si="26"/>
        <v>0</v>
      </c>
      <c r="Z20" s="1173"/>
    </row>
    <row r="21" spans="1:26" ht="25.9" customHeight="1">
      <c r="A21" s="1162">
        <f>ROW()-8</f>
        <v>13</v>
      </c>
      <c r="B21" s="1163"/>
      <c r="C21" s="1163"/>
      <c r="D21" s="1163"/>
      <c r="E21" s="1152"/>
      <c r="F21" s="1152"/>
      <c r="G21" s="1153">
        <f>E21+F21</f>
        <v>0</v>
      </c>
      <c r="H21" s="1152"/>
      <c r="I21" s="1163"/>
      <c r="J21" s="1164"/>
      <c r="K21" s="1163"/>
      <c r="L21" s="1163"/>
      <c r="M21" s="1163"/>
      <c r="N21" s="1163"/>
      <c r="O21" s="1165"/>
      <c r="P21" s="1166"/>
      <c r="Q21" s="1166"/>
      <c r="R21" s="1167"/>
      <c r="S21" s="1168"/>
      <c r="T21" s="1169">
        <f t="shared" ref="T21" si="28">Project_Factor</f>
        <v>0.8</v>
      </c>
      <c r="U21" s="1170" cm="1">
        <f t="array" ref="U21">EBOM_Factor</f>
        <v>0</v>
      </c>
      <c r="V21" s="1170">
        <f t="shared" si="0"/>
        <v>0</v>
      </c>
      <c r="W21" s="1171">
        <f>E21*V21</f>
        <v>0</v>
      </c>
      <c r="X21" s="1171">
        <f>F21*V21</f>
        <v>0</v>
      </c>
      <c r="Y21" s="1171">
        <f>X21+W21</f>
        <v>0</v>
      </c>
      <c r="Z21" s="1173"/>
    </row>
    <row r="22" spans="1:26" ht="25.9" customHeight="1">
      <c r="A22" s="1162">
        <f t="shared" ref="A22:A26" si="29">ROW()-8</f>
        <v>14</v>
      </c>
      <c r="B22" s="1163"/>
      <c r="C22" s="1163"/>
      <c r="D22" s="1163"/>
      <c r="E22" s="1152"/>
      <c r="F22" s="1152"/>
      <c r="G22" s="1153">
        <f t="shared" ref="G22:G26" si="30">E22+F22</f>
        <v>0</v>
      </c>
      <c r="H22" s="1152"/>
      <c r="I22" s="1163"/>
      <c r="J22" s="1164"/>
      <c r="K22" s="1163"/>
      <c r="L22" s="1163"/>
      <c r="M22" s="1163"/>
      <c r="N22" s="1163"/>
      <c r="O22" s="1165"/>
      <c r="P22" s="1166"/>
      <c r="Q22" s="1166"/>
      <c r="R22" s="1167"/>
      <c r="S22" s="1168"/>
      <c r="T22" s="1169">
        <f t="shared" ref="T22" si="31">Project_Factor</f>
        <v>0.8</v>
      </c>
      <c r="U22" s="1170" cm="1">
        <f t="array" ref="U22">EBOM_Factor</f>
        <v>0</v>
      </c>
      <c r="V22" s="1170">
        <f t="shared" si="0"/>
        <v>0</v>
      </c>
      <c r="W22" s="1171">
        <f t="shared" ref="W22:W26" si="32">E22*V22</f>
        <v>0</v>
      </c>
      <c r="X22" s="1171">
        <f t="shared" ref="X22:X26" si="33">F22*V22</f>
        <v>0</v>
      </c>
      <c r="Y22" s="1171">
        <f t="shared" ref="Y22:Y26" si="34">X22+W22</f>
        <v>0</v>
      </c>
      <c r="Z22" s="1173"/>
    </row>
    <row r="23" spans="1:26" ht="25.9" customHeight="1">
      <c r="A23" s="1162">
        <f t="shared" si="29"/>
        <v>15</v>
      </c>
      <c r="B23" s="1163"/>
      <c r="C23" s="1163"/>
      <c r="D23" s="1163"/>
      <c r="E23" s="1152"/>
      <c r="F23" s="1152"/>
      <c r="G23" s="1153">
        <f t="shared" si="30"/>
        <v>0</v>
      </c>
      <c r="H23" s="1152"/>
      <c r="I23" s="1163"/>
      <c r="J23" s="1164"/>
      <c r="K23" s="1163"/>
      <c r="L23" s="1163"/>
      <c r="M23" s="1163"/>
      <c r="N23" s="1163"/>
      <c r="O23" s="1165"/>
      <c r="P23" s="1166"/>
      <c r="Q23" s="1166"/>
      <c r="R23" s="1167"/>
      <c r="S23" s="1168"/>
      <c r="T23" s="1169">
        <f t="shared" ref="T23" si="35">Project_Factor</f>
        <v>0.8</v>
      </c>
      <c r="U23" s="1170" cm="1">
        <f t="array" ref="U23">EBOM_Factor</f>
        <v>0</v>
      </c>
      <c r="V23" s="1170">
        <f t="shared" si="0"/>
        <v>0</v>
      </c>
      <c r="W23" s="1171">
        <f t="shared" si="32"/>
        <v>0</v>
      </c>
      <c r="X23" s="1171">
        <f t="shared" si="33"/>
        <v>0</v>
      </c>
      <c r="Y23" s="1171">
        <f t="shared" si="34"/>
        <v>0</v>
      </c>
      <c r="Z23" s="1173"/>
    </row>
    <row r="24" spans="1:26" ht="25.9" customHeight="1">
      <c r="A24" s="1162">
        <f t="shared" si="29"/>
        <v>16</v>
      </c>
      <c r="B24" s="1163"/>
      <c r="C24" s="1163"/>
      <c r="D24" s="1163"/>
      <c r="E24" s="1152"/>
      <c r="F24" s="1152"/>
      <c r="G24" s="1153">
        <f t="shared" si="30"/>
        <v>0</v>
      </c>
      <c r="H24" s="1152"/>
      <c r="I24" s="1163"/>
      <c r="J24" s="1164"/>
      <c r="K24" s="1163"/>
      <c r="L24" s="1163"/>
      <c r="M24" s="1163"/>
      <c r="N24" s="1163"/>
      <c r="O24" s="1165"/>
      <c r="P24" s="1166"/>
      <c r="Q24" s="1166"/>
      <c r="R24" s="1167"/>
      <c r="S24" s="1168"/>
      <c r="T24" s="1169">
        <f t="shared" ref="T24" si="36">Project_Factor</f>
        <v>0.8</v>
      </c>
      <c r="U24" s="1170" cm="1">
        <f t="array" ref="U24">EBOM_Factor</f>
        <v>0</v>
      </c>
      <c r="V24" s="1170">
        <f t="shared" si="0"/>
        <v>0</v>
      </c>
      <c r="W24" s="1171">
        <f t="shared" si="32"/>
        <v>0</v>
      </c>
      <c r="X24" s="1171">
        <f t="shared" si="33"/>
        <v>0</v>
      </c>
      <c r="Y24" s="1171">
        <f t="shared" si="34"/>
        <v>0</v>
      </c>
      <c r="Z24" s="1173"/>
    </row>
    <row r="25" spans="1:26" ht="25.9" customHeight="1">
      <c r="A25" s="1162">
        <f t="shared" si="29"/>
        <v>17</v>
      </c>
      <c r="B25" s="1163"/>
      <c r="C25" s="1163"/>
      <c r="D25" s="1163"/>
      <c r="E25" s="1152"/>
      <c r="F25" s="1152"/>
      <c r="G25" s="1153">
        <f t="shared" si="30"/>
        <v>0</v>
      </c>
      <c r="H25" s="1152"/>
      <c r="I25" s="1163"/>
      <c r="J25" s="1164"/>
      <c r="K25" s="1163"/>
      <c r="L25" s="1163"/>
      <c r="M25" s="1163"/>
      <c r="N25" s="1163"/>
      <c r="O25" s="1165"/>
      <c r="P25" s="1166"/>
      <c r="Q25" s="1166"/>
      <c r="R25" s="1167"/>
      <c r="S25" s="1168"/>
      <c r="T25" s="1169">
        <f t="shared" ref="T25" si="37">Project_Factor</f>
        <v>0.8</v>
      </c>
      <c r="U25" s="1170" cm="1">
        <f t="array" ref="U25">EBOM_Factor</f>
        <v>0</v>
      </c>
      <c r="V25" s="1170">
        <f t="shared" si="0"/>
        <v>0</v>
      </c>
      <c r="W25" s="1171">
        <f t="shared" si="32"/>
        <v>0</v>
      </c>
      <c r="X25" s="1171">
        <f t="shared" si="33"/>
        <v>0</v>
      </c>
      <c r="Y25" s="1171">
        <f t="shared" si="34"/>
        <v>0</v>
      </c>
      <c r="Z25" s="1173"/>
    </row>
    <row r="26" spans="1:26" ht="25.9" customHeight="1">
      <c r="A26" s="1162">
        <f t="shared" si="29"/>
        <v>18</v>
      </c>
      <c r="B26" s="1163"/>
      <c r="C26" s="1163"/>
      <c r="D26" s="1163"/>
      <c r="E26" s="1152"/>
      <c r="F26" s="1152"/>
      <c r="G26" s="1153">
        <f t="shared" si="30"/>
        <v>0</v>
      </c>
      <c r="H26" s="1152"/>
      <c r="I26" s="1163"/>
      <c r="J26" s="1164"/>
      <c r="K26" s="1163"/>
      <c r="L26" s="1163"/>
      <c r="M26" s="1163"/>
      <c r="N26" s="1163"/>
      <c r="O26" s="1165"/>
      <c r="P26" s="1166"/>
      <c r="Q26" s="1166"/>
      <c r="R26" s="1167"/>
      <c r="S26" s="1168"/>
      <c r="T26" s="1169">
        <f t="shared" ref="T26" si="38">Project_Factor</f>
        <v>0.8</v>
      </c>
      <c r="U26" s="1170" cm="1">
        <f t="array" ref="U26">EBOM_Factor</f>
        <v>0</v>
      </c>
      <c r="V26" s="1170">
        <f t="shared" si="0"/>
        <v>0</v>
      </c>
      <c r="W26" s="1171">
        <f t="shared" si="32"/>
        <v>0</v>
      </c>
      <c r="X26" s="1171">
        <f t="shared" si="33"/>
        <v>0</v>
      </c>
      <c r="Y26" s="1171">
        <f t="shared" si="34"/>
        <v>0</v>
      </c>
      <c r="Z26" s="1173"/>
    </row>
    <row r="27" spans="1:26" ht="25.9" customHeight="1">
      <c r="A27" s="1176"/>
      <c r="B27" s="1177" t="s">
        <v>3532</v>
      </c>
      <c r="C27" s="1177"/>
      <c r="D27" s="1177"/>
      <c r="E27" s="1177"/>
      <c r="F27" s="1177"/>
      <c r="G27" s="1177"/>
      <c r="H27" s="1177"/>
      <c r="I27" s="1177"/>
      <c r="J27" s="1177"/>
      <c r="K27" s="1177"/>
      <c r="L27" s="1177"/>
      <c r="M27" s="1177"/>
      <c r="N27" s="1177"/>
      <c r="O27" s="1177"/>
      <c r="P27" s="1177"/>
      <c r="Q27" s="1177"/>
      <c r="R27" s="1178">
        <f>SUM(R6:R26)</f>
        <v>8.7696442030834714</v>
      </c>
      <c r="S27" s="1177"/>
      <c r="T27" s="1177"/>
      <c r="U27" s="1179"/>
      <c r="V27" s="1179"/>
      <c r="W27" s="1179">
        <f>SUM(EBOM52[Price Top Side])</f>
        <v>2.2919395319219213</v>
      </c>
      <c r="X27" s="1179">
        <f>SUM(EBOM52[Price Bottom Side])</f>
        <v>0</v>
      </c>
      <c r="Y27" s="1179">
        <f>SUM(EBOM52[Total Price])</f>
        <v>2.3572328069219211</v>
      </c>
      <c r="Z27" s="1179"/>
    </row>
    <row r="28" spans="1:26" ht="25.9" customHeight="1"/>
    <row r="29" spans="1:26" ht="25.9" customHeight="1" thickBot="1">
      <c r="E29" s="1180"/>
      <c r="F29" s="1180"/>
      <c r="G29" s="1180"/>
      <c r="H29" s="1322" t="s">
        <v>3524</v>
      </c>
      <c r="I29" s="1322"/>
      <c r="K29" s="1322" t="s">
        <v>3525</v>
      </c>
      <c r="L29" s="1322"/>
      <c r="N29" s="1180"/>
      <c r="P29" s="1180"/>
      <c r="Q29" s="1180"/>
      <c r="R29" s="1181"/>
      <c r="S29" s="1182"/>
      <c r="T29" s="1182"/>
      <c r="U29" s="1183"/>
      <c r="V29" s="1184"/>
      <c r="X29" s="1180"/>
    </row>
    <row r="30" spans="1:26" ht="25.9" customHeight="1">
      <c r="E30" s="1180"/>
      <c r="F30" s="1180"/>
      <c r="G30" s="1180"/>
      <c r="H30" s="1185" t="s">
        <v>3486</v>
      </c>
      <c r="I30" s="1186">
        <f>SUMIF(EBOM52[SMD/THT],"SMD",EBOM52[Quantity 
Top Side])</f>
        <v>48</v>
      </c>
      <c r="K30" s="1185" t="s">
        <v>3486</v>
      </c>
      <c r="L30" s="1186">
        <f>SUMIF(EBOM52[SMD/THT],"SMD",EBOM52[Quantity 
Bottom Side])</f>
        <v>0</v>
      </c>
      <c r="N30" s="1180"/>
      <c r="R30" s="1181"/>
      <c r="S30" s="1182"/>
      <c r="T30" s="1182"/>
      <c r="U30" s="1183"/>
      <c r="V30" s="1184"/>
      <c r="W30" s="1183"/>
      <c r="X30" s="1180"/>
    </row>
    <row r="31" spans="1:26" ht="25.9" customHeight="1">
      <c r="E31" s="1180"/>
      <c r="F31" s="1180"/>
      <c r="G31" s="1180"/>
      <c r="H31" s="1187" t="s">
        <v>3493</v>
      </c>
      <c r="I31" s="1188">
        <f>SUMIF(EBOM52[SMD/THT],"THT-radial",EBOM52[Quantity 
Top Side])</f>
        <v>0</v>
      </c>
      <c r="K31" s="1187" t="s">
        <v>3493</v>
      </c>
      <c r="L31" s="1188">
        <f>SUMIF(EBOM52[SMD/THT],"THT-radial",EBOM52[Quantity 
Bottom Side])</f>
        <v>0</v>
      </c>
      <c r="N31" s="1180"/>
      <c r="R31" s="1181"/>
      <c r="S31" s="1182"/>
      <c r="T31" s="1182"/>
      <c r="U31" s="1183"/>
      <c r="V31" s="1184"/>
      <c r="W31" s="1183"/>
      <c r="X31" s="1180"/>
    </row>
    <row r="32" spans="1:26" ht="25.9" customHeight="1">
      <c r="E32" s="1180"/>
      <c r="F32" s="1180"/>
      <c r="G32" s="1180"/>
      <c r="H32" s="1187" t="s">
        <v>3494</v>
      </c>
      <c r="I32" s="1188">
        <f>SUMIF(EBOM52[SMD/THT],"THT-axial",EBOM52[Quantity 
Top Side])</f>
        <v>0</v>
      </c>
      <c r="K32" s="1187" t="s">
        <v>3494</v>
      </c>
      <c r="L32" s="1188">
        <f>SUMIF(EBOM52[SMD/THT],"THT-axial",EBOM52[Quantity 
Bottom Side])</f>
        <v>0</v>
      </c>
      <c r="N32" s="1180"/>
      <c r="R32" s="1181"/>
      <c r="S32" s="1182"/>
      <c r="T32" s="1182"/>
      <c r="U32" s="1183"/>
      <c r="V32" s="1184"/>
      <c r="W32" s="1183"/>
      <c r="X32" s="1180"/>
    </row>
    <row r="33" spans="1:24" ht="25.9" customHeight="1" thickBot="1">
      <c r="E33" s="1180"/>
      <c r="F33" s="1180"/>
      <c r="G33" s="1180"/>
      <c r="H33" s="1189" t="s">
        <v>3543</v>
      </c>
      <c r="I33" s="1190">
        <f>SUMIF(EBOM52[SMD/THT],H33,EBOM52[Quantity 
Top Side])</f>
        <v>0</v>
      </c>
      <c r="K33" s="1189" t="s">
        <v>3543</v>
      </c>
      <c r="L33" s="1190">
        <f>SUMIF(EBOM52[SMD/THT],K33,EBOM52[Quantity 
Bottom Side])</f>
        <v>0</v>
      </c>
      <c r="N33" s="1180"/>
      <c r="R33" s="1181"/>
      <c r="S33" s="1182"/>
      <c r="T33" s="1182"/>
      <c r="U33" s="1183"/>
      <c r="V33" s="1184"/>
      <c r="W33" s="1183"/>
      <c r="X33" s="1180"/>
    </row>
    <row r="34" spans="1:24" ht="25.9" customHeight="1" thickBot="1"/>
    <row r="35" spans="1:24" ht="25.9" customHeight="1">
      <c r="H35" s="1191" t="s">
        <v>4008</v>
      </c>
      <c r="I35" s="1192" t="str">
        <f>H29</f>
        <v>TOP SIDE</v>
      </c>
      <c r="J35" s="1193" t="str">
        <f>K29</f>
        <v>BOTTOM SIDE</v>
      </c>
    </row>
    <row r="36" spans="1:24" ht="25.9" customHeight="1">
      <c r="H36" s="1194" t="str">
        <f>C67</f>
        <v>Resistor</v>
      </c>
      <c r="I36" s="1152">
        <f>SUMIFS(EBOM52[Quantity 
Top Side],EBOM52[SMD/THT],"SMD",EBOM52[Type],H36)</f>
        <v>13</v>
      </c>
      <c r="J36" s="1195">
        <f>SUMIFS(EBOM52[Quantity 
Bottom Side],EBOM52[SMD/THT],"SMD",EBOM52[Type],H36)</f>
        <v>0</v>
      </c>
    </row>
    <row r="37" spans="1:24" ht="25.9" customHeight="1">
      <c r="H37" s="1194" t="str">
        <f>C65</f>
        <v>Capacitor</v>
      </c>
      <c r="I37" s="1152">
        <f>SUMIFS(EBOM52[Quantity 
Top Side],EBOM52[SMD/THT],"SMD",EBOM52[Type],H37)</f>
        <v>31</v>
      </c>
      <c r="J37" s="1195">
        <f>SUMIFS(EBOM52[Quantity 
Bottom Side],EBOM52[SMD/THT],"SMD",EBOM52[Type],H37)</f>
        <v>0</v>
      </c>
    </row>
    <row r="38" spans="1:24" ht="25.9" customHeight="1">
      <c r="H38" s="1194" t="s">
        <v>3545</v>
      </c>
      <c r="I38" s="1152">
        <f>IF((SUMIFS(EBOM52[Quantity 
Top Side],EBOM52[SMD/THT],"SMD",EBOM52[Source],"Shortlist")+SUMIFS(EBOM52[Quantity 
Top Side],EBOM52[SMD/THT],"SMD",EBOM52[Source],"Standard")-I36-I37)&lt;0,"Tabellenspalte 'Link' ausfüllen",SUMIFS(EBOM52[Quantity 
Top Side],EBOM52[SMD/THT],"SMD",EBOM52[Source],"Shortlist")+SUMIFS(EBOM52[Quantity 
Top Side],EBOM52[SMD/THT],"SMD",EBOM52[Source],"Standard")-I36-I37)</f>
        <v>0</v>
      </c>
      <c r="J38" s="1195">
        <f>IF((SUMIFS(EBOM52[Quantity 
Bottom Side],EBOM52[SMD/THT],"SMD",EBOM52[Source],"Shortlist")+SUMIFS(EBOM52[Quantity 
Bottom Side],EBOM52[SMD/THT],"SMD",EBOM52[Source],"Standard")-J36-J37)&lt;0,"Tabellenspalte 'Link' ausfüllen",SUMIFS(EBOM52[Quantity 
Bottom Side],EBOM52[SMD/THT],"SMD",EBOM52[Source],"Shortlist")+SUMIFS(EBOM52[Quantity 
Bottom Side],EBOM52[SMD/THT],"SMD",EBOM52[Source],"Standard")-J36-J37)</f>
        <v>0</v>
      </c>
    </row>
    <row r="39" spans="1:24" ht="25.9" customHeight="1">
      <c r="H39" s="1194" t="s">
        <v>3546</v>
      </c>
      <c r="I39" s="1152">
        <f>I30-I36-I37-I38-I40</f>
        <v>1</v>
      </c>
      <c r="J39" s="1195">
        <f>L30-J36-J37-J38-J40</f>
        <v>0</v>
      </c>
    </row>
    <row r="40" spans="1:24" ht="25.9" customHeight="1" thickBot="1">
      <c r="H40" s="1196" t="s">
        <v>3547</v>
      </c>
      <c r="I40" s="1197">
        <f>I41+I42</f>
        <v>3</v>
      </c>
      <c r="J40" s="1198"/>
    </row>
    <row r="41" spans="1:24" ht="25.9" customHeight="1">
      <c r="H41" s="1199" t="s">
        <v>3499</v>
      </c>
      <c r="I41" s="1200">
        <f>SUMIFS(EBOM52[Quantity 
Top Side],EBOM52[Group],H41,EBOM52[SMD/THT],"SMD")</f>
        <v>2</v>
      </c>
      <c r="J41" s="1201">
        <f>SUMIFS(EBOM52[Quantity 
Bottom Side],EBOM52[SMD/THT],"SMD",EBOM52[Group],H41)</f>
        <v>0</v>
      </c>
    </row>
    <row r="42" spans="1:24" ht="25.9" customHeight="1">
      <c r="H42" s="1202" t="s">
        <v>3535</v>
      </c>
      <c r="I42" s="1203">
        <f>SUMIFS(EBOM52[Quantity 
Top Side],EBOM52[Group],H42,EBOM52[SMD/THT],"SMD")</f>
        <v>1</v>
      </c>
      <c r="J42" s="1204">
        <f>SUMIFS(EBOM52[Quantity 
Bottom Side],EBOM52[SMD/THT],"SMD",EBOM52[Group],H42)</f>
        <v>0</v>
      </c>
    </row>
    <row r="43" spans="1:24" ht="25.9" customHeight="1"/>
    <row r="44" spans="1:24" ht="25.9" customHeight="1"/>
    <row r="45" spans="1:24" ht="25.9" customHeight="1"/>
    <row r="46" spans="1:24" ht="25.9" customHeight="1"/>
    <row r="47" spans="1:24" ht="25.9" customHeight="1"/>
    <row r="48" spans="1:24" ht="25.9" hidden="1" customHeight="1" thickBot="1">
      <c r="A48" s="1205" t="s">
        <v>4009</v>
      </c>
      <c r="B48" s="1206"/>
      <c r="C48" s="1206"/>
      <c r="D48" s="1206"/>
      <c r="E48" s="1206"/>
      <c r="F48" s="1206"/>
      <c r="G48" s="1206"/>
      <c r="H48" s="1206"/>
      <c r="I48" s="1206"/>
      <c r="J48" s="1206"/>
      <c r="K48" s="1207"/>
    </row>
    <row r="49" spans="1:20" ht="25.9" hidden="1" customHeight="1">
      <c r="A49" s="1208" t="s">
        <v>4009</v>
      </c>
      <c r="H49" s="1191" t="s">
        <v>4008</v>
      </c>
      <c r="I49" s="1192" t="str">
        <f>H29</f>
        <v>TOP SIDE</v>
      </c>
      <c r="J49" s="1193" t="str">
        <f>K29</f>
        <v>BOTTOM SIDE</v>
      </c>
      <c r="K49" s="1201"/>
    </row>
    <row r="50" spans="1:20" ht="25.9" hidden="1" customHeight="1">
      <c r="A50" s="1208" t="s">
        <v>4009</v>
      </c>
      <c r="H50" s="1194" t="s">
        <v>3555</v>
      </c>
      <c r="I50" s="1152">
        <f>SUMIFS(EBOM52[Quantity 
Top Side],EBOM52[SMD/THT],"SMD",EBOM52[Type],H50)</f>
        <v>13</v>
      </c>
      <c r="J50" s="1195">
        <f>SUMIFS(EBOM52[Quantity 
Bottom Side],EBOM52[SMD/THT],"SMD",EBOM52[Type],"Widerstand")</f>
        <v>0</v>
      </c>
      <c r="K50" s="1201"/>
    </row>
    <row r="51" spans="1:20" ht="25.9" hidden="1" customHeight="1">
      <c r="A51" s="1208" t="s">
        <v>4009</v>
      </c>
      <c r="H51" s="1194" t="s">
        <v>3553</v>
      </c>
      <c r="I51" s="1152">
        <f>SUMIFS(EBOM52[Quantity 
Top Side],EBOM52[SMD/THT],"SMD",EBOM52[Type],H51)</f>
        <v>31</v>
      </c>
      <c r="J51" s="1195">
        <f>SUMIFS(EBOM52[Quantity 
Bottom Side],EBOM52[SMD/THT],"SMD",EBOM52[Type],"Kondensator")</f>
        <v>0</v>
      </c>
      <c r="K51" s="1201"/>
    </row>
    <row r="52" spans="1:20" ht="25.9" hidden="1" customHeight="1">
      <c r="A52" s="1208" t="s">
        <v>4009</v>
      </c>
      <c r="H52" s="1194" t="s">
        <v>3545</v>
      </c>
      <c r="I52" s="1152">
        <f>SUMIFS(EBOM52[Quantity 
Top Side],EBOM52[SMD/THT],"SMD",EBOM52[Source],"Shortlist")+SUMIFS(EBOM52[Quantity 
Top Side],EBOM52[SMD/THT],"SMD",EBOM52[Source],"Standard")-I51-I50</f>
        <v>0</v>
      </c>
      <c r="J52" s="1195">
        <f>SUMIFS(EBOM52[Quantity 
Bottom Side],EBOM52[SMD/THT],"SMD",EBOM52[Source],"Standard")-J51-J50</f>
        <v>0</v>
      </c>
      <c r="K52" s="1201"/>
    </row>
    <row r="53" spans="1:20" ht="25.9" hidden="1" customHeight="1">
      <c r="A53" s="1208" t="s">
        <v>4009</v>
      </c>
      <c r="H53" s="1194" t="s">
        <v>3546</v>
      </c>
      <c r="I53" s="1152">
        <f>I30-I50-I51-I52-I54</f>
        <v>1</v>
      </c>
      <c r="J53" s="1195">
        <f>L30-J50-J51-J52-J54</f>
        <v>0</v>
      </c>
      <c r="K53" s="1201"/>
    </row>
    <row r="54" spans="1:20" ht="25.9" hidden="1" customHeight="1" thickBot="1">
      <c r="A54" s="1208" t="s">
        <v>4009</v>
      </c>
      <c r="H54" s="1196" t="s">
        <v>3547</v>
      </c>
      <c r="I54" s="1197">
        <f>I55+I56</f>
        <v>3</v>
      </c>
      <c r="J54" s="1198">
        <f>J55+J56</f>
        <v>0</v>
      </c>
      <c r="K54" s="1201"/>
    </row>
    <row r="55" spans="1:20" ht="25.9" hidden="1" customHeight="1">
      <c r="A55" s="1208" t="s">
        <v>4009</v>
      </c>
      <c r="H55" s="1199" t="s">
        <v>3499</v>
      </c>
      <c r="I55" s="1144">
        <f>SUMIFS(EBOM52[Quantity 
Top Side],EBOM52[SMD/THT],"SMD",EBOM52[Group],H55)</f>
        <v>2</v>
      </c>
      <c r="J55" s="1201">
        <f>SUMIFS(EBOM52[Quantity 
Bottom Side],EBOM52[SMD/THT],"SMD",EBOM52[Group],H55)</f>
        <v>0</v>
      </c>
      <c r="K55" s="1201"/>
    </row>
    <row r="56" spans="1:20" ht="25.9" hidden="1" customHeight="1">
      <c r="A56" s="1208" t="s">
        <v>4009</v>
      </c>
      <c r="H56" s="1202" t="s">
        <v>3535</v>
      </c>
      <c r="I56" s="1209">
        <f>SUMIFS(EBOM52[Quantity 
Top Side],EBOM52[SMD/THT],"SMD",EBOM52[Group],H56)</f>
        <v>1</v>
      </c>
      <c r="J56" s="1204">
        <f>SUMIFS(EBOM52[Quantity 
Bottom Side],EBOM52[SMD/THT],"SMD",EBOM52[Group],H56)</f>
        <v>0</v>
      </c>
      <c r="K56" s="1201"/>
    </row>
    <row r="57" spans="1:20" ht="25.9" hidden="1" customHeight="1">
      <c r="A57" s="1208" t="s">
        <v>4009</v>
      </c>
      <c r="K57" s="1201"/>
    </row>
    <row r="58" spans="1:20" ht="25.9" hidden="1" customHeight="1">
      <c r="A58" s="1208" t="s">
        <v>4009</v>
      </c>
      <c r="K58" s="1201"/>
    </row>
    <row r="59" spans="1:20" ht="25.9" hidden="1" customHeight="1">
      <c r="A59" s="1208" t="s">
        <v>4009</v>
      </c>
      <c r="K59" s="1201"/>
    </row>
    <row r="60" spans="1:20" ht="25.9" hidden="1" customHeight="1">
      <c r="A60" s="1208" t="s">
        <v>4009</v>
      </c>
      <c r="K60" s="1201"/>
    </row>
    <row r="61" spans="1:20" ht="25.9" hidden="1" customHeight="1">
      <c r="A61" s="1208" t="s">
        <v>4009</v>
      </c>
      <c r="K61" s="1201"/>
    </row>
    <row r="62" spans="1:20" ht="25.9" hidden="1" customHeight="1">
      <c r="A62" s="1208" t="s">
        <v>4009</v>
      </c>
      <c r="B62" s="1323" t="s">
        <v>4010</v>
      </c>
      <c r="C62" s="1324"/>
      <c r="K62" s="1201"/>
    </row>
    <row r="63" spans="1:20" ht="25.9" hidden="1" customHeight="1">
      <c r="A63" s="1208" t="s">
        <v>4009</v>
      </c>
      <c r="B63" s="1211" t="s">
        <v>4011</v>
      </c>
      <c r="C63" s="1212" t="s">
        <v>3509</v>
      </c>
      <c r="D63" s="1211" t="s">
        <v>3467</v>
      </c>
      <c r="F63" s="1212" t="s">
        <v>3553</v>
      </c>
      <c r="G63" s="1212" t="s">
        <v>3555</v>
      </c>
      <c r="H63" s="1212" t="s">
        <v>3490</v>
      </c>
      <c r="I63" s="1212" t="s">
        <v>3552</v>
      </c>
      <c r="J63" s="1212" t="s">
        <v>3554</v>
      </c>
      <c r="K63" s="1201"/>
      <c r="Q63" s="1213"/>
      <c r="T63" s="1144"/>
    </row>
    <row r="64" spans="1:20" ht="25.9" hidden="1" customHeight="1">
      <c r="A64" s="1208" t="s">
        <v>4009</v>
      </c>
      <c r="B64" s="1214" t="s">
        <v>3533</v>
      </c>
      <c r="C64" s="1144" t="s">
        <v>3552</v>
      </c>
      <c r="D64" s="1214" t="s">
        <v>3486</v>
      </c>
      <c r="F64" s="1144" t="s">
        <v>4012</v>
      </c>
      <c r="G64" s="1210" t="s">
        <v>4012</v>
      </c>
      <c r="H64" s="1144" t="s">
        <v>4013</v>
      </c>
      <c r="I64" s="1144" t="s">
        <v>4012</v>
      </c>
      <c r="J64" s="1144" t="s">
        <v>4012</v>
      </c>
      <c r="K64" s="1201"/>
      <c r="Q64" s="1213"/>
      <c r="T64" s="1144"/>
    </row>
    <row r="65" spans="1:20" ht="25.9" hidden="1" customHeight="1">
      <c r="A65" s="1208" t="s">
        <v>4009</v>
      </c>
      <c r="B65" s="1214" t="s">
        <v>3534</v>
      </c>
      <c r="C65" s="1144" t="s">
        <v>3553</v>
      </c>
      <c r="D65" s="1214" t="s">
        <v>3493</v>
      </c>
      <c r="F65" s="1144" t="s">
        <v>4014</v>
      </c>
      <c r="G65" s="1210" t="s">
        <v>4014</v>
      </c>
      <c r="H65" s="1144" t="s">
        <v>4015</v>
      </c>
      <c r="I65" s="1144" t="s">
        <v>4014</v>
      </c>
      <c r="J65" s="1144" t="s">
        <v>4014</v>
      </c>
      <c r="K65" s="1201"/>
      <c r="Q65" s="1213"/>
      <c r="T65" s="1144"/>
    </row>
    <row r="66" spans="1:20" ht="25.9" hidden="1" customHeight="1">
      <c r="A66" s="1208" t="s">
        <v>4009</v>
      </c>
      <c r="B66" s="1214" t="s">
        <v>3499</v>
      </c>
      <c r="C66" s="1144" t="s">
        <v>3554</v>
      </c>
      <c r="D66" s="1214" t="s">
        <v>3494</v>
      </c>
      <c r="F66" s="1144" t="s">
        <v>4016</v>
      </c>
      <c r="G66" s="1210" t="s">
        <v>4016</v>
      </c>
      <c r="H66" s="1144" t="s">
        <v>4017</v>
      </c>
      <c r="I66" s="1144" t="s">
        <v>4016</v>
      </c>
      <c r="J66" s="1144" t="s">
        <v>4016</v>
      </c>
      <c r="K66" s="1201"/>
      <c r="Q66" s="1213"/>
      <c r="T66" s="1144"/>
    </row>
    <row r="67" spans="1:20" ht="25.9" hidden="1" customHeight="1">
      <c r="A67" s="1208" t="s">
        <v>4009</v>
      </c>
      <c r="B67" s="1214" t="s">
        <v>3559</v>
      </c>
      <c r="C67" s="1144" t="s">
        <v>3555</v>
      </c>
      <c r="D67" s="1214" t="s">
        <v>3543</v>
      </c>
      <c r="F67" s="1144" t="s">
        <v>4018</v>
      </c>
      <c r="G67" s="1210" t="s">
        <v>4018</v>
      </c>
      <c r="H67" s="1144" t="s">
        <v>4019</v>
      </c>
      <c r="I67" s="1144" t="s">
        <v>4018</v>
      </c>
      <c r="J67" s="1144" t="s">
        <v>4018</v>
      </c>
      <c r="K67" s="1201"/>
      <c r="Q67" s="1213"/>
      <c r="T67" s="1144"/>
    </row>
    <row r="68" spans="1:20" ht="25.9" hidden="1" customHeight="1">
      <c r="A68" s="1208" t="s">
        <v>4009</v>
      </c>
      <c r="B68" s="1214" t="s">
        <v>3535</v>
      </c>
      <c r="C68" s="1144" t="s">
        <v>3490</v>
      </c>
      <c r="D68" s="1214"/>
      <c r="F68" s="1144" t="s">
        <v>4020</v>
      </c>
      <c r="G68" s="1210" t="s">
        <v>4020</v>
      </c>
      <c r="H68" s="1144" t="s">
        <v>4021</v>
      </c>
      <c r="K68" s="1201"/>
      <c r="Q68" s="1213"/>
      <c r="T68" s="1144"/>
    </row>
    <row r="69" spans="1:20" ht="25.9" hidden="1" customHeight="1">
      <c r="A69" s="1208" t="s">
        <v>4009</v>
      </c>
      <c r="B69" s="1214" t="s">
        <v>3536</v>
      </c>
      <c r="C69" s="1144" t="s">
        <v>3556</v>
      </c>
      <c r="D69" s="1214"/>
      <c r="G69" s="1210" t="s">
        <v>4022</v>
      </c>
      <c r="H69" s="1144" t="s">
        <v>4023</v>
      </c>
      <c r="K69" s="1201"/>
      <c r="Q69" s="1213"/>
      <c r="T69" s="1144"/>
    </row>
    <row r="70" spans="1:20" ht="25.9" hidden="1" customHeight="1">
      <c r="A70" s="1208" t="s">
        <v>4009</v>
      </c>
      <c r="B70" s="1214" t="s">
        <v>3537</v>
      </c>
      <c r="C70" s="1144" t="s">
        <v>3557</v>
      </c>
      <c r="D70" s="1214"/>
      <c r="G70" s="1210" t="s">
        <v>4024</v>
      </c>
      <c r="H70" s="1144" t="s">
        <v>4025</v>
      </c>
      <c r="K70" s="1201"/>
      <c r="Q70" s="1213"/>
      <c r="T70" s="1144"/>
    </row>
    <row r="71" spans="1:20" ht="25.9" hidden="1" customHeight="1">
      <c r="A71" s="1208" t="s">
        <v>4009</v>
      </c>
      <c r="B71" s="1214" t="s">
        <v>3506</v>
      </c>
      <c r="C71" s="1144" t="s">
        <v>3558</v>
      </c>
      <c r="D71" s="1214"/>
      <c r="H71" s="1144" t="s">
        <v>4026</v>
      </c>
      <c r="K71" s="1201"/>
      <c r="Q71" s="1213"/>
      <c r="T71" s="1144"/>
    </row>
    <row r="72" spans="1:20" ht="25.9" hidden="1" customHeight="1">
      <c r="A72" s="1208" t="s">
        <v>4009</v>
      </c>
      <c r="B72" s="1215" t="s">
        <v>667</v>
      </c>
      <c r="C72" s="1144" t="s">
        <v>3559</v>
      </c>
      <c r="D72" s="1215"/>
      <c r="H72" s="1144" t="s">
        <v>4028</v>
      </c>
      <c r="K72" s="1201"/>
      <c r="Q72" s="1213"/>
      <c r="T72" s="1144"/>
    </row>
    <row r="73" spans="1:20" ht="25.9" hidden="1" customHeight="1">
      <c r="A73" s="1208" t="s">
        <v>4009</v>
      </c>
      <c r="H73" s="1144" t="s">
        <v>4029</v>
      </c>
      <c r="K73" s="1201"/>
      <c r="Q73" s="1213"/>
      <c r="T73" s="1144"/>
    </row>
    <row r="74" spans="1:20" ht="25.9" hidden="1" customHeight="1">
      <c r="A74" s="1208" t="s">
        <v>4009</v>
      </c>
      <c r="B74" s="1144" t="s">
        <v>54</v>
      </c>
      <c r="C74" s="1144" t="str">
        <f>IF(Language="EN","Please enter price","Bitte Preis eintragen")</f>
        <v>Please enter price</v>
      </c>
      <c r="H74" s="1144" t="s">
        <v>4030</v>
      </c>
      <c r="K74" s="1201"/>
      <c r="Q74" s="1213"/>
      <c r="T74" s="1144"/>
    </row>
    <row r="75" spans="1:20" ht="25.9" hidden="1" customHeight="1">
      <c r="A75" s="1208" t="s">
        <v>4009</v>
      </c>
      <c r="H75" s="1144" t="s">
        <v>4031</v>
      </c>
      <c r="K75" s="1201"/>
      <c r="Q75" s="1213"/>
      <c r="T75" s="1144"/>
    </row>
    <row r="76" spans="1:20" ht="25.9" hidden="1" customHeight="1">
      <c r="A76" s="1208" t="s">
        <v>4009</v>
      </c>
      <c r="H76" s="1144" t="s">
        <v>4032</v>
      </c>
      <c r="K76" s="1201"/>
      <c r="Q76" s="1213"/>
      <c r="T76" s="1144"/>
    </row>
    <row r="77" spans="1:20" ht="25.9" hidden="1" customHeight="1">
      <c r="A77" s="1216" t="s">
        <v>4009</v>
      </c>
      <c r="B77" s="1209"/>
      <c r="C77" s="1209"/>
      <c r="D77" s="1209"/>
      <c r="E77" s="1209"/>
      <c r="F77" s="1209"/>
      <c r="G77" s="1209"/>
      <c r="H77" s="1209"/>
      <c r="I77" s="1209"/>
      <c r="J77" s="1209"/>
      <c r="K77" s="1204"/>
      <c r="Q77" s="1213"/>
      <c r="T77" s="1144"/>
    </row>
    <row r="78" spans="1:20" ht="25.9" customHeight="1"/>
    <row r="79" spans="1:20" ht="25.9" customHeight="1"/>
    <row r="80" spans="1:20" ht="25.9" customHeight="1"/>
    <row r="81" ht="25.9" customHeight="1"/>
  </sheetData>
  <mergeCells count="4">
    <mergeCell ref="U2:U3"/>
    <mergeCell ref="H29:I29"/>
    <mergeCell ref="K29:L29"/>
    <mergeCell ref="B62:C62"/>
  </mergeCells>
  <conditionalFormatting sqref="T21:T26">
    <cfRule type="cellIs" dxfId="850" priority="14" operator="greaterThan">
      <formula>5</formula>
    </cfRule>
  </conditionalFormatting>
  <conditionalFormatting sqref="J3:L3">
    <cfRule type="cellIs" dxfId="849" priority="13" operator="equal">
      <formula>""</formula>
    </cfRule>
  </conditionalFormatting>
  <conditionalFormatting sqref="O7:O8 O16 O18:O26">
    <cfRule type="cellIs" dxfId="848" priority="12" operator="equal">
      <formula>"[Link]"</formula>
    </cfRule>
  </conditionalFormatting>
  <conditionalFormatting sqref="H3">
    <cfRule type="cellIs" dxfId="847" priority="11" operator="equal">
      <formula>""</formula>
    </cfRule>
  </conditionalFormatting>
  <conditionalFormatting sqref="M7:M26">
    <cfRule type="expression" dxfId="846" priority="10">
      <formula>AND(NOT(ISBLANK(C7)),ISBLANK(M7))</formula>
    </cfRule>
  </conditionalFormatting>
  <conditionalFormatting sqref="R6">
    <cfRule type="cellIs" dxfId="845" priority="9" operator="greaterThan">
      <formula>5</formula>
    </cfRule>
  </conditionalFormatting>
  <conditionalFormatting sqref="O6">
    <cfRule type="cellIs" dxfId="844" priority="8" operator="equal">
      <formula>"[Link]"</formula>
    </cfRule>
  </conditionalFormatting>
  <conditionalFormatting sqref="M6">
    <cfRule type="expression" dxfId="843" priority="7">
      <formula>AND(NOT(ISBLANK(C6)),ISBLANK(M6))</formula>
    </cfRule>
  </conditionalFormatting>
  <conditionalFormatting sqref="W3">
    <cfRule type="cellIs" dxfId="842" priority="6" operator="equal">
      <formula>""</formula>
    </cfRule>
  </conditionalFormatting>
  <conditionalFormatting sqref="T3">
    <cfRule type="cellIs" dxfId="841" priority="5" operator="equal">
      <formula>""</formula>
    </cfRule>
  </conditionalFormatting>
  <conditionalFormatting sqref="T26">
    <cfRule type="cellIs" dxfId="840" priority="4" operator="greaterThan">
      <formula>5</formula>
    </cfRule>
  </conditionalFormatting>
  <conditionalFormatting sqref="R9:R10">
    <cfRule type="cellIs" dxfId="839" priority="3" operator="greaterThan">
      <formula>5</formula>
    </cfRule>
  </conditionalFormatting>
  <conditionalFormatting sqref="O9:O15">
    <cfRule type="cellIs" dxfId="838" priority="2" operator="equal">
      <formula>"[Link]"</formula>
    </cfRule>
  </conditionalFormatting>
  <conditionalFormatting sqref="O17">
    <cfRule type="cellIs" dxfId="837" priority="1" operator="equal">
      <formula>"[Link]"</formula>
    </cfRule>
  </conditionalFormatting>
  <dataValidations count="13">
    <dataValidation type="list" allowBlank="1" showInputMessage="1" prompt="andere Eingaben möglich - im Dropdown sind die häufigsten aufgelistet" sqref="N6:N8 N16:N26" xr:uid="{EF825C2E-E347-4F45-A80E-7035EC806523}">
      <formula1>IF(OR(C6=$F$63,C6=$G$63,C6=$H$63,C6=$I$63,C6=$J$63),INDIRECT("tbl_Code_housing["&amp;C6&amp;"]"),NA())</formula1>
    </dataValidation>
    <dataValidation type="list" allowBlank="1" showInputMessage="1" prompt="andere Eingaben möglich - im Dropdown sind die häufigsten aufgelistet" sqref="C8 C16:C26" xr:uid="{0BBB5826-41FB-4B3F-9785-D8D0D5A1E8FA}">
      <formula1>$C$64:$C$72</formula1>
    </dataValidation>
    <dataValidation type="list" errorStyle="warning" allowBlank="1" showInputMessage="1" showErrorMessage="1" sqref="H6:H26" xr:uid="{779DC4F1-4ED3-4F0E-80A5-0243B0B96C5D}">
      <formula1>$D$64:$D$67</formula1>
    </dataValidation>
    <dataValidation type="list" allowBlank="1" sqref="O6:O26" xr:uid="{A3E355F7-C264-44C2-9252-243DC0DE97AC}">
      <formula1>"[Link],Standard,Shortlist"</formula1>
    </dataValidation>
    <dataValidation type="list" allowBlank="1" showInputMessage="1" showErrorMessage="1" sqref="B21:B26 B16:B19" xr:uid="{EC3E4671-BAD4-440F-95B4-33B62037A82D}">
      <formula1>$B$64:$B$72</formula1>
    </dataValidation>
    <dataValidation allowBlank="1" prompt="andere Eingaben möglich - im Dropdown sind die häufigsten aufgelistet" sqref="C6:C7" xr:uid="{9EFED142-B612-4418-8C94-1D9C2D49478C}"/>
    <dataValidation type="list" allowBlank="1" showInputMessage="1" showErrorMessage="1" sqref="H4" xr:uid="{2A02F551-99C0-470C-A889-D7D352B2F2C7}">
      <formula1>"2-layers,4-layers,6-layers,8-layers,10-layers,12-layers"</formula1>
    </dataValidation>
    <dataValidation type="list" allowBlank="1" showInputMessage="1" showErrorMessage="1" sqref="G4 L3" xr:uid="{628A1F00-D418-4A69-90FB-A2B57A7B6460}">
      <formula1>"Standard,HDI, HiFr,IMS (Aluminum)"</formula1>
    </dataValidation>
    <dataValidation type="list" allowBlank="1" showInputMessage="1" showErrorMessage="1" sqref="B9:B15" xr:uid="{F62C8C3A-7C3F-4C61-9234-86686444F7F1}">
      <formula1>$B$67:$B$75</formula1>
    </dataValidation>
    <dataValidation type="list" allowBlank="1" showInputMessage="1" prompt="andere Eingaben möglich - im Dropdown sind die häufigsten aufgelistet" sqref="C9:C15" xr:uid="{4F046CAD-6963-49FB-ADD3-FE0ED69A8E54}">
      <formula1>$C$67:$C$75</formula1>
    </dataValidation>
    <dataValidation type="list" allowBlank="1" showInputMessage="1" prompt="andere Eingaben möglich - im Dropdown sind die häufigsten aufgelistet" sqref="N9:N12 N14" xr:uid="{63981305-0EAD-4ECC-947C-98E3AC3BE039}">
      <formula1>IF(OR(C9=$F$66,C9=$G$66,C9=$H$66,C9=$I$66,C9=$J$66),INDIRECT("tbl_Code_housing["&amp;C9&amp;"]"),NA())</formula1>
    </dataValidation>
    <dataValidation type="list" allowBlank="1" showInputMessage="1" prompt="andere Eingaben möglich - im Dropdown sind die häufigsten aufgelistet" sqref="N13" xr:uid="{1D6C915E-6CA1-4E63-B200-B0F58A1774C7}">
      <formula1>IF(OR(C13=$F$65,C13=$G$65,C13=$H$65,C13=$I$65,C13=$J$65),INDIRECT("tbl_Code_housing["&amp;C13&amp;"]"),NA())</formula1>
    </dataValidation>
    <dataValidation type="list" allowBlank="1" showInputMessage="1" prompt="andere Eingaben möglich - im Dropdown sind die häufigsten aufgelistet" sqref="N15" xr:uid="{4F02FE00-6F07-43B7-8EEF-410B4F922C78}">
      <formula1>IF(OR(C15=$F$68,C15=$G$68,C15=$H$68,C15=$I$68,C15=$J$68),INDIRECT("tbl_Code_housing["&amp;C15&amp;"]"),NA())</formula1>
    </dataValidation>
  </dataValidations>
  <hyperlinks>
    <hyperlink ref="O12" r:id="rId1" xr:uid="{3791D179-3B42-49A3-ADC0-F1740C599230}"/>
  </hyperlink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2"/>
  <headerFooter alignWithMargins="0">
    <oddFooter>Seite &amp;P von &amp;N</oddFooter>
  </headerFooter>
  <drawing r:id="rId3"/>
  <legacyDrawing r:id="rId4"/>
  <tableParts count="3">
    <tablePart r:id="rId5"/>
    <tablePart r:id="rId6"/>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3006F-C3BA-4550-B1A5-40544D1E4249}">
  <sheetPr codeName="TabInfo"/>
  <dimension ref="A1:X29"/>
  <sheetViews>
    <sheetView showGridLines="0" showZeros="0" zoomScaleNormal="100" workbookViewId="0">
      <pane ySplit="4" topLeftCell="A6" activePane="bottomLeft" state="frozen"/>
      <selection activeCell="B2" sqref="B2:AX2"/>
      <selection pane="bottomLeft" activeCell="H25" sqref="H25"/>
    </sheetView>
  </sheetViews>
  <sheetFormatPr baseColWidth="10" defaultColWidth="11.42578125" defaultRowHeight="12.75"/>
  <cols>
    <col min="1" max="1" width="5.5703125" style="13" bestFit="1" customWidth="1"/>
    <col min="2" max="2" width="40.7109375" style="5" customWidth="1"/>
    <col min="3" max="3" width="8.7109375" style="2" customWidth="1"/>
    <col min="4" max="4" width="12.7109375" style="2" customWidth="1"/>
    <col min="5" max="5" width="14.28515625" style="2" bestFit="1" customWidth="1"/>
    <col min="6" max="11" width="6.7109375" style="2" customWidth="1"/>
    <col min="12" max="18" width="12.7109375" style="2" customWidth="1"/>
    <col min="19" max="19" width="2.7109375" style="13" customWidth="1"/>
    <col min="20" max="24" width="11.42578125" style="2"/>
    <col min="25" max="25" width="2.7109375" style="13" customWidth="1"/>
    <col min="26" max="16384" width="11.42578125" style="13"/>
  </cols>
  <sheetData>
    <row r="1" spans="2:24" s="246" customFormat="1">
      <c r="B1" s="887">
        <f>COLUMN()-1</f>
        <v>1</v>
      </c>
      <c r="C1" s="887">
        <f t="shared" ref="C1:R1" si="0">COLUMN()-1</f>
        <v>2</v>
      </c>
      <c r="D1" s="887">
        <f t="shared" si="0"/>
        <v>3</v>
      </c>
      <c r="E1" s="887">
        <f t="shared" si="0"/>
        <v>4</v>
      </c>
      <c r="F1" s="887">
        <f t="shared" si="0"/>
        <v>5</v>
      </c>
      <c r="G1" s="887">
        <f t="shared" si="0"/>
        <v>6</v>
      </c>
      <c r="H1" s="887">
        <f t="shared" si="0"/>
        <v>7</v>
      </c>
      <c r="I1" s="887">
        <f t="shared" si="0"/>
        <v>8</v>
      </c>
      <c r="J1" s="887">
        <f t="shared" si="0"/>
        <v>9</v>
      </c>
      <c r="K1" s="887">
        <f t="shared" si="0"/>
        <v>10</v>
      </c>
      <c r="L1" s="887">
        <f t="shared" si="0"/>
        <v>11</v>
      </c>
      <c r="M1" s="887">
        <f t="shared" si="0"/>
        <v>12</v>
      </c>
      <c r="N1" s="887">
        <f t="shared" si="0"/>
        <v>13</v>
      </c>
      <c r="O1" s="887">
        <f t="shared" si="0"/>
        <v>14</v>
      </c>
      <c r="P1" s="887">
        <f t="shared" si="0"/>
        <v>15</v>
      </c>
      <c r="Q1" s="887">
        <f t="shared" si="0"/>
        <v>16</v>
      </c>
      <c r="R1" s="887">
        <f t="shared" si="0"/>
        <v>17</v>
      </c>
    </row>
    <row r="2" spans="2:24">
      <c r="B2" s="13"/>
      <c r="F2" s="1325" t="s">
        <v>901</v>
      </c>
      <c r="G2" s="1326"/>
      <c r="H2" s="1326"/>
      <c r="I2" s="1326"/>
      <c r="J2" s="1326"/>
      <c r="K2" s="1327"/>
      <c r="L2" s="215"/>
      <c r="M2" s="215"/>
      <c r="N2" s="215"/>
      <c r="S2" s="2"/>
    </row>
    <row r="3" spans="2:24" s="255" customFormat="1" ht="25.5">
      <c r="B3" s="247" t="s">
        <v>952</v>
      </c>
      <c r="C3" s="248" t="s">
        <v>953</v>
      </c>
      <c r="D3" s="248" t="s">
        <v>34</v>
      </c>
      <c r="E3" s="248" t="s">
        <v>954</v>
      </c>
      <c r="F3" s="249" t="s">
        <v>38</v>
      </c>
      <c r="G3" s="248" t="s">
        <v>121</v>
      </c>
      <c r="H3" s="248" t="s">
        <v>122</v>
      </c>
      <c r="I3" s="250" t="s">
        <v>183</v>
      </c>
      <c r="J3" s="248" t="s">
        <v>1278</v>
      </c>
      <c r="K3" s="251" t="s">
        <v>1279</v>
      </c>
      <c r="L3" s="248" t="s">
        <v>957</v>
      </c>
      <c r="M3" s="248" t="s">
        <v>1040</v>
      </c>
      <c r="N3" s="248" t="s">
        <v>1277</v>
      </c>
      <c r="O3" s="248" t="s">
        <v>960</v>
      </c>
      <c r="P3" s="248" t="s">
        <v>958</v>
      </c>
      <c r="Q3" s="248" t="s">
        <v>959</v>
      </c>
      <c r="R3" s="252" t="s">
        <v>171</v>
      </c>
      <c r="S3" s="253"/>
      <c r="T3" s="254"/>
      <c r="U3" s="253"/>
      <c r="V3" s="253"/>
      <c r="W3" s="254"/>
      <c r="X3" s="253"/>
    </row>
    <row r="4" spans="2:24" s="261" customFormat="1" ht="4.5" customHeight="1">
      <c r="B4" s="256" t="s">
        <v>940</v>
      </c>
      <c r="C4" s="256" t="s">
        <v>945</v>
      </c>
      <c r="D4" s="256" t="s">
        <v>34</v>
      </c>
      <c r="E4" s="256" t="s">
        <v>135</v>
      </c>
      <c r="F4" s="257" t="s">
        <v>38</v>
      </c>
      <c r="G4" s="256" t="s">
        <v>121</v>
      </c>
      <c r="H4" s="256" t="s">
        <v>122</v>
      </c>
      <c r="I4" s="258" t="s">
        <v>183</v>
      </c>
      <c r="J4" s="256" t="s">
        <v>947</v>
      </c>
      <c r="K4" s="259" t="s">
        <v>948</v>
      </c>
      <c r="L4" s="256" t="s">
        <v>439</v>
      </c>
      <c r="M4" s="256" t="s">
        <v>1280</v>
      </c>
      <c r="N4" s="256" t="s">
        <v>1281</v>
      </c>
      <c r="O4" s="256" t="s">
        <v>949</v>
      </c>
      <c r="P4" s="256" t="s">
        <v>950</v>
      </c>
      <c r="Q4" s="256" t="s">
        <v>951</v>
      </c>
      <c r="R4" s="256" t="s">
        <v>170</v>
      </c>
      <c r="S4" s="256"/>
      <c r="T4" s="260"/>
      <c r="U4" s="256"/>
      <c r="V4" s="256"/>
      <c r="W4" s="260"/>
      <c r="X4" s="256"/>
    </row>
    <row r="5" spans="2:24" hidden="1">
      <c r="B5" s="262" t="s">
        <v>89</v>
      </c>
      <c r="C5" s="263">
        <v>7</v>
      </c>
      <c r="D5" s="263">
        <f>IFERROR(VLOOKUP(Info[[#This Row],[Bauteil]],BOM,5,0),0)</f>
        <v>0</v>
      </c>
      <c r="E5" s="264" t="str" cm="1">
        <f t="array" ref="E5">IFERROR(IF(INDEX(MAT[Dichte],MATCH(Info[[#This Row],[Material]],MAT[Bezeichnung],0),)&gt;0,INDEX(MAT[Dichte],MATCH(Info[[#This Row],[Material]],MAT[Bezeichnung],0),),"[Input]"),"[Input]")</f>
        <v>[Input]</v>
      </c>
      <c r="F5" s="265">
        <f>IFERROR(VLOOKUP(Info[[#This Row],[Bauteil]],BOM,8,0),0)</f>
        <v>0</v>
      </c>
      <c r="G5" s="263">
        <f>IFERROR(VLOOKUP(Info[[#This Row],[Bauteil]],BOM,9,0),0)</f>
        <v>0</v>
      </c>
      <c r="H5" s="263">
        <f>IFERROR(VLOOKUP(Info[[#This Row],[Bauteil]],BOM,10,0),0)</f>
        <v>0</v>
      </c>
      <c r="I5" s="1115">
        <f>IFERROR(VLOOKUP(Info[[#This Row],[Bauteil]],BOM,11,0),0)</f>
        <v>0</v>
      </c>
      <c r="J5" s="263">
        <f>Info[[#This Row],[x]]</f>
        <v>0</v>
      </c>
      <c r="K5" s="266">
        <f>0</f>
        <v>0</v>
      </c>
      <c r="L5" s="267">
        <f>1</f>
        <v>1</v>
      </c>
      <c r="M5" s="268">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5" s="268">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5" s="268">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5" s="268">
        <f>IFERROR(Info[[#This Row],[Volumen]]*Info[[#This Row],[Dichte]]/1000,0)</f>
        <v>0</v>
      </c>
      <c r="Q5" s="264">
        <f>Info[[#This Row],[Masse in g]]/1000</f>
        <v>0</v>
      </c>
      <c r="R5" s="264"/>
      <c r="S5" s="2"/>
    </row>
    <row r="6" spans="2:24">
      <c r="B6" s="269"/>
      <c r="C6" s="270"/>
      <c r="E6" s="145" t="str" cm="1">
        <f t="array" ref="E6">IFERROR(IF(INDEX(MAT[Dichte],MATCH(Info[[#This Row],[Material]],MAT[Bezeichnung],0),)&gt;0,INDEX(MAT[Dichte],MATCH(Info[[#This Row],[Material]],MAT[Bezeichnung],0),),"[Input]"),"[Input]")</f>
        <v>[Input]</v>
      </c>
      <c r="F6" s="1033">
        <f>IFERROR(VLOOKUP(Info[[#This Row],[Bauteil]],BOM,8,0),0)</f>
        <v>0</v>
      </c>
      <c r="G6" s="1034">
        <f>IFERROR(VLOOKUP(Info[[#This Row],[Bauteil]],BOM,9,0),0)</f>
        <v>0</v>
      </c>
      <c r="H6" s="1034">
        <f>IFERROR(VLOOKUP(Info[[#This Row],[Bauteil]],BOM,10,0),0)</f>
        <v>0</v>
      </c>
      <c r="I6" s="1114">
        <f>IFERROR(VLOOKUP(Info[[#This Row],[Bauteil]],BOM,11,0),0)</f>
        <v>0</v>
      </c>
      <c r="J6" s="1034">
        <f>Info[[#This Row],[x]]</f>
        <v>0</v>
      </c>
      <c r="K6" s="1035">
        <f>0</f>
        <v>0</v>
      </c>
      <c r="L6" s="272">
        <f>1</f>
        <v>1</v>
      </c>
      <c r="M6" s="273">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6" s="274">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6" s="274">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6" s="274">
        <f>IFERROR(Info[[#This Row],[Volumen]]*Info[[#This Row],[Dichte]]/1000,0)</f>
        <v>0</v>
      </c>
      <c r="Q6" s="145">
        <f>Info[[#This Row],[Masse in g]]/1000</f>
        <v>0</v>
      </c>
      <c r="R6" s="145"/>
      <c r="S6" s="2"/>
    </row>
    <row r="7" spans="2:24">
      <c r="B7" s="269"/>
      <c r="D7" s="2">
        <f>IFERROR(VLOOKUP(Info[[#This Row],[Bauteil]],BOM,5,0),0)</f>
        <v>0</v>
      </c>
      <c r="E7" s="145" t="str" cm="1">
        <f t="array" ref="E7">IFERROR(IF(INDEX(MAT[Dichte],MATCH(Info[[#This Row],[Material]],MAT[Bezeichnung],0),)&gt;0,INDEX(MAT[Dichte],MATCH(Info[[#This Row],[Material]],MAT[Bezeichnung],0),),"[Input]"),"[Input]")</f>
        <v>[Input]</v>
      </c>
      <c r="F7" s="1033">
        <f>IFERROR(VLOOKUP(Info[[#This Row],[Bauteil]],BOM,8,0),0)</f>
        <v>0</v>
      </c>
      <c r="G7" s="1034">
        <f>IFERROR(VLOOKUP(Info[[#This Row],[Bauteil]],BOM,9,0),0)</f>
        <v>0</v>
      </c>
      <c r="H7" s="1034">
        <f>IFERROR(VLOOKUP(Info[[#This Row],[Bauteil]],BOM,10,0),0)</f>
        <v>0</v>
      </c>
      <c r="I7" s="1114">
        <f>IFERROR(VLOOKUP(Info[[#This Row],[Bauteil]],BOM,11,0),0)</f>
        <v>0</v>
      </c>
      <c r="J7" s="1034">
        <f>Info[[#This Row],[x]]</f>
        <v>0</v>
      </c>
      <c r="K7" s="1035">
        <f>0</f>
        <v>0</v>
      </c>
      <c r="L7" s="275">
        <f>1</f>
        <v>1</v>
      </c>
      <c r="M7" s="274">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7" s="274">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7" s="274">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7" s="274">
        <f>IFERROR(Info[[#This Row],[Volumen]]*Info[[#This Row],[Dichte]]/1000,0)</f>
        <v>0</v>
      </c>
      <c r="Q7" s="145">
        <f>Info[[#This Row],[Masse in g]]/1000</f>
        <v>0</v>
      </c>
      <c r="R7" s="145"/>
      <c r="S7" s="2"/>
    </row>
    <row r="8" spans="2:24">
      <c r="B8" s="269"/>
      <c r="C8" s="270"/>
      <c r="D8" s="2">
        <f>IFERROR(VLOOKUP(Info[[#This Row],[Bauteil]],BOM,5,0),0)</f>
        <v>0</v>
      </c>
      <c r="E8" s="271" t="str" cm="1">
        <f t="array" ref="E8">IFERROR(IF(INDEX(MAT[Dichte],MATCH(Info[[#This Row],[Material]],MAT[Bezeichnung],0),)&gt;0,INDEX(MAT[Dichte],MATCH(Info[[#This Row],[Material]],MAT[Bezeichnung],0),),"[Input]"),"[Input]")</f>
        <v>[Input]</v>
      </c>
      <c r="F8" s="1033">
        <f>IFERROR(VLOOKUP(Info[[#This Row],[Bauteil]],BOM,8,0),0)</f>
        <v>0</v>
      </c>
      <c r="G8" s="1034">
        <f>IFERROR(VLOOKUP(Info[[#This Row],[Bauteil]],BOM,9,0),0)</f>
        <v>0</v>
      </c>
      <c r="H8" s="1034">
        <f>IFERROR(VLOOKUP(Info[[#This Row],[Bauteil]],BOM,10,0),0)</f>
        <v>0</v>
      </c>
      <c r="I8" s="1114">
        <f>IFERROR(VLOOKUP(Info[[#This Row],[Bauteil]],BOM,11,0),0)</f>
        <v>0</v>
      </c>
      <c r="J8" s="1034">
        <f>Info[[#This Row],[x]]</f>
        <v>0</v>
      </c>
      <c r="K8" s="1035">
        <f>0</f>
        <v>0</v>
      </c>
      <c r="L8" s="272">
        <f>1</f>
        <v>1</v>
      </c>
      <c r="M8" s="274">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8" s="274">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8" s="274">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8" s="274">
        <f>IFERROR(Info[[#This Row],[Volumen]]*Info[[#This Row],[Dichte]]/1000,0)</f>
        <v>0</v>
      </c>
      <c r="Q8" s="145">
        <f>Info[[#This Row],[Masse in g]]/1000</f>
        <v>0</v>
      </c>
      <c r="R8" s="145"/>
      <c r="U8" s="276"/>
      <c r="X8" s="276"/>
    </row>
    <row r="9" spans="2:24">
      <c r="B9" s="1116"/>
      <c r="C9" s="1117"/>
      <c r="D9" s="1118">
        <f>IFERROR(VLOOKUP(Info[[#This Row],[Bauteil]],BOM,5,0),0)</f>
        <v>0</v>
      </c>
      <c r="E9" s="1119" t="str" cm="1">
        <f t="array" ref="E9">IFERROR(IF(INDEX(MAT[Dichte],MATCH(Info[[#This Row],[Material]],MAT[Bezeichnung],0),)&gt;0,INDEX(MAT[Dichte],MATCH(Info[[#This Row],[Material]],MAT[Bezeichnung],0),),"[Input]"),"[Input]")</f>
        <v>[Input]</v>
      </c>
      <c r="F9" s="1120">
        <f>IFERROR(VLOOKUP(Info[[#This Row],[Bauteil]],BOM,8,0),0)</f>
        <v>0</v>
      </c>
      <c r="G9" s="1121">
        <f>IFERROR(VLOOKUP(Info[[#This Row],[Bauteil]],BOM,9,0),0)</f>
        <v>0</v>
      </c>
      <c r="H9" s="1121">
        <f>IFERROR(VLOOKUP(Info[[#This Row],[Bauteil]],BOM,10,0),0)</f>
        <v>0</v>
      </c>
      <c r="I9" s="1114">
        <f>IFERROR(VLOOKUP(Info[[#This Row],[Bauteil]],BOM,11,0),0)</f>
        <v>0</v>
      </c>
      <c r="J9" s="1121">
        <f>Info[[#This Row],[x]]</f>
        <v>0</v>
      </c>
      <c r="K9" s="1122">
        <f>0</f>
        <v>0</v>
      </c>
      <c r="L9" s="1123">
        <f>1</f>
        <v>1</v>
      </c>
      <c r="M9" s="1124">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9" s="1125">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9" s="1125">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9" s="1125">
        <f>IFERROR(Info[[#This Row],[Volumen]]*Info[[#This Row],[Dichte]]/1000,0)</f>
        <v>0</v>
      </c>
      <c r="Q9" s="1126">
        <f>Info[[#This Row],[Masse in g]]/1000</f>
        <v>0</v>
      </c>
      <c r="R9" s="1118"/>
    </row>
    <row r="10" spans="2:24">
      <c r="B10" s="13"/>
    </row>
    <row r="13" spans="2:24">
      <c r="B13" s="13"/>
    </row>
    <row r="14" spans="2:24">
      <c r="U14" s="276"/>
    </row>
    <row r="17" spans="1:24">
      <c r="A17" s="1245"/>
      <c r="B17" s="583" t="s">
        <v>4147</v>
      </c>
      <c r="C17" s="1246">
        <f>25.4*38.1</f>
        <v>967.74</v>
      </c>
      <c r="D17" s="1247" t="s">
        <v>2326</v>
      </c>
      <c r="E17" s="1246">
        <f>0.07111/5000</f>
        <v>1.4222000000000002E-5</v>
      </c>
      <c r="F17" s="1248" t="s">
        <v>1022</v>
      </c>
      <c r="T17" s="277"/>
      <c r="U17" s="277"/>
      <c r="V17" s="277"/>
      <c r="W17" s="277"/>
      <c r="X17" s="277"/>
    </row>
    <row r="18" spans="1:24">
      <c r="A18" s="1249"/>
      <c r="C18" s="150">
        <v>1</v>
      </c>
      <c r="D18" s="445" t="s">
        <v>2326</v>
      </c>
      <c r="E18" s="1250">
        <f>E17/C17</f>
        <v>1.4696096058858786E-8</v>
      </c>
      <c r="F18" s="1251" t="s">
        <v>1022</v>
      </c>
    </row>
    <row r="19" spans="1:24">
      <c r="A19" s="1249"/>
      <c r="D19" s="445"/>
      <c r="F19" s="1252"/>
    </row>
    <row r="20" spans="1:24">
      <c r="A20" s="1249"/>
      <c r="F20" s="1252"/>
    </row>
    <row r="21" spans="1:24">
      <c r="A21" s="1249" t="s">
        <v>4152</v>
      </c>
      <c r="B21" s="5" t="s">
        <v>4148</v>
      </c>
      <c r="C21" s="150">
        <f>20*15</f>
        <v>300</v>
      </c>
      <c r="D21" s="445" t="s">
        <v>2326</v>
      </c>
      <c r="E21" s="1250">
        <f t="shared" ref="E21:E26" si="1">C21*$E$18</f>
        <v>4.4088288176576362E-6</v>
      </c>
      <c r="F21" s="1251" t="s">
        <v>1022</v>
      </c>
    </row>
    <row r="22" spans="1:24">
      <c r="A22" s="1249" t="s">
        <v>4152</v>
      </c>
      <c r="B22" s="5" t="s">
        <v>4149</v>
      </c>
      <c r="C22" s="150">
        <f>7*7</f>
        <v>49</v>
      </c>
      <c r="D22" s="445" t="s">
        <v>2326</v>
      </c>
      <c r="E22" s="1250">
        <f t="shared" si="1"/>
        <v>7.201087068840805E-7</v>
      </c>
      <c r="F22" s="1251" t="s">
        <v>1022</v>
      </c>
    </row>
    <row r="23" spans="1:24">
      <c r="A23" s="1249" t="s">
        <v>4153</v>
      </c>
      <c r="B23" s="5" t="s">
        <v>4150</v>
      </c>
      <c r="C23" s="150">
        <f>5*5</f>
        <v>25</v>
      </c>
      <c r="D23" s="445" t="s">
        <v>2326</v>
      </c>
      <c r="E23" s="1250">
        <f t="shared" si="1"/>
        <v>3.6740240147146965E-7</v>
      </c>
      <c r="F23" s="1251" t="s">
        <v>1022</v>
      </c>
    </row>
    <row r="24" spans="1:24">
      <c r="A24" s="1249" t="s">
        <v>4153</v>
      </c>
      <c r="B24" s="5" t="s">
        <v>4151</v>
      </c>
      <c r="C24" s="150">
        <f>20*5</f>
        <v>100</v>
      </c>
      <c r="D24" s="445" t="s">
        <v>2326</v>
      </c>
      <c r="E24" s="1250">
        <f t="shared" si="1"/>
        <v>1.4696096058858786E-6</v>
      </c>
      <c r="F24" s="1251" t="s">
        <v>1022</v>
      </c>
    </row>
    <row r="25" spans="1:24">
      <c r="A25" s="1249" t="s">
        <v>4154</v>
      </c>
      <c r="B25" s="5" t="s">
        <v>4155</v>
      </c>
      <c r="C25" s="150">
        <f>25*4</f>
        <v>100</v>
      </c>
      <c r="D25" s="445" t="s">
        <v>2326</v>
      </c>
      <c r="E25" s="1250">
        <f t="shared" si="1"/>
        <v>1.4696096058858786E-6</v>
      </c>
      <c r="F25" s="1251" t="s">
        <v>1022</v>
      </c>
    </row>
    <row r="26" spans="1:24">
      <c r="A26" s="1253" t="s">
        <v>4157</v>
      </c>
      <c r="B26" s="1254" t="s">
        <v>4158</v>
      </c>
      <c r="C26" s="1255">
        <f>22*13</f>
        <v>286</v>
      </c>
      <c r="D26" s="1256" t="s">
        <v>2326</v>
      </c>
      <c r="E26" s="1257">
        <f t="shared" si="1"/>
        <v>4.2030834728336132E-6</v>
      </c>
      <c r="F26" s="1258" t="s">
        <v>1022</v>
      </c>
    </row>
    <row r="29" spans="1:24">
      <c r="B29" s="13"/>
    </row>
  </sheetData>
  <mergeCells count="1">
    <mergeCell ref="F2:K2"/>
  </mergeCells>
  <phoneticPr fontId="36" type="noConversion"/>
  <conditionalFormatting sqref="H5:H9">
    <cfRule type="expression" dxfId="794" priority="694">
      <formula>AND($C5&gt;0,$C5&lt;6)</formula>
    </cfRule>
  </conditionalFormatting>
  <conditionalFormatting sqref="F5:G9">
    <cfRule type="expression" dxfId="793" priority="695">
      <formula>OR($C5=1,$C5=2,$C5=7)</formula>
    </cfRule>
  </conditionalFormatting>
  <conditionalFormatting sqref="J5:J9">
    <cfRule type="expression" dxfId="792" priority="696">
      <formula>AND($C5&gt;2,$C5&lt;7)</formula>
    </cfRule>
  </conditionalFormatting>
  <conditionalFormatting sqref="K5:K9">
    <cfRule type="expression" dxfId="791" priority="1">
      <formula>$C5=4</formula>
    </cfRule>
  </conditionalFormatting>
  <conditionalFormatting sqref="I5:I9">
    <cfRule type="expression" dxfId="790" priority="697">
      <formula>$C5=7</formula>
    </cfRule>
  </conditionalFormatting>
  <dataValidations disablePrompts="1" count="4">
    <dataValidation type="list" allowBlank="1" showInputMessage="1" sqref="B5:B9" xr:uid="{1F6DA5A6-8637-4112-B1C9-78AE7CFE4AF1}">
      <formula1>BOM_Dropdown</formula1>
    </dataValidation>
    <dataValidation type="list" allowBlank="1" showInputMessage="1" sqref="D5:D9" xr:uid="{A9E1A9D2-DAA4-4AFD-970E-0894B49E8EC7}">
      <formula1>MAT_Dropdown</formula1>
    </dataValidation>
    <dataValidation type="list" allowBlank="1" showInputMessage="1" showErrorMessage="1" sqref="C5:C8" xr:uid="{5319E0FD-4870-4ADB-B226-F2FD7E048A95}">
      <formula1>"1,2,3,4,5,6,7"</formula1>
    </dataValidation>
    <dataValidation type="list" allowBlank="1" showInputMessage="1" sqref="C5:C8" xr:uid="{2BDC11A6-4EC1-4D0D-883C-99571D38AE5C}">
      <formula1>"1,2,3,4,5,6,7"</formula1>
    </dataValidation>
  </dataValidations>
  <pageMargins left="0.7" right="0.7" top="0.78740157499999996" bottom="0.78740157499999996"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IndirectCosts">
    <tabColor theme="9" tint="0.59999389629810485"/>
    <outlinePr summaryBelow="0" summaryRight="0"/>
    <pageSetUpPr autoPageBreaks="0"/>
  </sheetPr>
  <dimension ref="B1:BQ57"/>
  <sheetViews>
    <sheetView showGridLines="0" showZeros="0" zoomScale="70" zoomScaleNormal="70" workbookViewId="0">
      <pane ySplit="3" topLeftCell="A4" activePane="bottomLeft" state="frozen"/>
      <selection activeCell="B2" sqref="B2:AX2"/>
      <selection pane="bottomLeft" activeCell="K3" sqref="K3"/>
    </sheetView>
  </sheetViews>
  <sheetFormatPr baseColWidth="10" defaultColWidth="11.42578125" defaultRowHeight="12.75" outlineLevelCol="2"/>
  <cols>
    <col min="1" max="1" width="2.7109375" style="5" customWidth="1"/>
    <col min="2" max="4" width="30.7109375" style="5" customWidth="1"/>
    <col min="5" max="5" width="9.7109375" style="5" customWidth="1"/>
    <col min="6" max="6" width="30.7109375" style="5" customWidth="1"/>
    <col min="7" max="8" width="9.7109375" style="5" customWidth="1"/>
    <col min="9" max="9" width="12.7109375" style="5" customWidth="1"/>
    <col min="10" max="17" width="9.7109375" style="5" customWidth="1"/>
    <col min="18" max="18" width="9.7109375" style="5" customWidth="1" collapsed="1"/>
    <col min="19" max="19" width="21.7109375" style="5" hidden="1" customWidth="1" outlineLevel="1"/>
    <col min="20" max="22" width="6.7109375" style="5" hidden="1" customWidth="1" outlineLevel="1"/>
    <col min="23" max="31" width="3.7109375" style="4" hidden="1" customWidth="1" outlineLevel="1"/>
    <col min="32" max="34" width="6.7109375" style="4" hidden="1" customWidth="1" outlineLevel="2"/>
    <col min="35" max="36" width="6.7109375" style="5" hidden="1" customWidth="1" outlineLevel="2"/>
    <col min="37" max="37" width="6.7109375" style="42" hidden="1" customWidth="1" outlineLevel="2"/>
    <col min="38" max="43" width="6.7109375" style="4" hidden="1" customWidth="1" outlineLevel="2"/>
    <col min="44" max="44" width="2.7109375" style="4" customWidth="1"/>
    <col min="45" max="45" width="34.85546875" style="4" bestFit="1" customWidth="1" collapsed="1"/>
    <col min="46" max="46" width="9.7109375" style="4" hidden="1" customWidth="1" outlineLevel="1"/>
    <col min="47" max="52" width="6.7109375" style="5" hidden="1" customWidth="1" outlineLevel="1"/>
    <col min="53" max="53" width="18.7109375" style="5" hidden="1" customWidth="1" outlineLevel="1"/>
    <col min="54" max="54" width="6.7109375" style="5" hidden="1" customWidth="1" outlineLevel="1"/>
    <col min="55" max="55" width="2.7109375" style="5" customWidth="1"/>
    <col min="56" max="56" width="24.7109375" style="5" bestFit="1" customWidth="1"/>
    <col min="57" max="57" width="6.7109375" style="347" customWidth="1" collapsed="1"/>
    <col min="58" max="58" width="6.7109375" style="5" hidden="1" customWidth="1" outlineLevel="1"/>
    <col min="59" max="59" width="6.7109375" style="177" hidden="1" customWidth="1" outlineLevel="1"/>
    <col min="60" max="60" width="2.7109375" style="5" customWidth="1"/>
    <col min="61" max="61" width="7.5703125" style="4" customWidth="1"/>
    <col min="62" max="62" width="7.28515625" style="4" customWidth="1"/>
    <col min="63" max="63" width="12.7109375" style="297" customWidth="1"/>
    <col min="64" max="64" width="2.7109375" style="5" customWidth="1"/>
    <col min="65" max="65" width="2.7109375" style="5" hidden="1" customWidth="1"/>
    <col min="66" max="66" width="27.28515625" style="5" hidden="1" customWidth="1"/>
    <col min="67" max="67" width="2.7109375" style="5" customWidth="1"/>
    <col min="68" max="16384" width="11.42578125" style="5"/>
  </cols>
  <sheetData>
    <row r="1" spans="2:69" ht="5.0999999999999996" customHeight="1">
      <c r="U1" s="4"/>
      <c r="V1" s="4"/>
      <c r="AI1" s="4"/>
      <c r="AJ1" s="4"/>
      <c r="AK1" s="4"/>
      <c r="AS1" s="297"/>
      <c r="AT1" s="177"/>
      <c r="AU1" s="177"/>
      <c r="AV1" s="177"/>
      <c r="AW1" s="177"/>
      <c r="AX1" s="177"/>
      <c r="AY1" s="177"/>
      <c r="AZ1" s="177"/>
      <c r="BA1" s="177"/>
      <c r="BB1" s="4"/>
      <c r="BC1" s="4"/>
      <c r="BD1" s="298"/>
      <c r="BE1" s="4"/>
      <c r="BF1" s="34"/>
      <c r="BG1" s="4"/>
      <c r="BH1" s="4"/>
      <c r="BL1" s="4"/>
      <c r="BM1" s="4"/>
    </row>
    <row r="2" spans="2:69" ht="25.5" customHeight="1">
      <c r="B2" s="1301" t="s">
        <v>1521</v>
      </c>
      <c r="C2" s="1301"/>
      <c r="D2" s="1301"/>
      <c r="E2" s="1301"/>
      <c r="F2" s="1301"/>
      <c r="G2" s="1301"/>
      <c r="H2" s="1301"/>
      <c r="I2" s="1301"/>
      <c r="J2" s="1301"/>
      <c r="K2" s="1301"/>
      <c r="L2" s="1301"/>
      <c r="M2" s="1301"/>
      <c r="N2" s="1301"/>
      <c r="O2" s="1301"/>
      <c r="P2" s="1301"/>
      <c r="Q2" s="1301"/>
      <c r="R2" s="1301"/>
      <c r="S2" s="1301"/>
      <c r="T2" s="1301"/>
      <c r="U2" s="1301"/>
      <c r="V2" s="1301"/>
      <c r="W2" s="1301"/>
      <c r="X2" s="1301"/>
      <c r="Y2" s="1301"/>
      <c r="Z2" s="1301"/>
      <c r="AA2" s="1301"/>
      <c r="AB2" s="1301"/>
      <c r="AC2" s="1301"/>
      <c r="AD2" s="1301"/>
      <c r="AE2" s="1301"/>
      <c r="AF2" s="1301"/>
      <c r="AG2" s="1301"/>
      <c r="AH2" s="1301"/>
      <c r="AI2" s="1301"/>
      <c r="AJ2" s="1301"/>
      <c r="AK2" s="1301"/>
      <c r="AL2" s="1301"/>
      <c r="AM2" s="1301"/>
      <c r="AN2" s="1301"/>
      <c r="AO2" s="1301"/>
      <c r="AP2" s="1301"/>
      <c r="AQ2" s="1301"/>
      <c r="AR2" s="1301"/>
      <c r="AS2" s="1301"/>
      <c r="AT2" s="1301"/>
      <c r="AU2" s="1301"/>
      <c r="AV2" s="1301"/>
      <c r="AW2" s="1301"/>
      <c r="AX2" s="1301"/>
      <c r="AY2" s="1301"/>
      <c r="AZ2" s="1301"/>
      <c r="BA2" s="1301"/>
      <c r="BB2" s="1301"/>
      <c r="BC2" s="1301"/>
      <c r="BD2" s="1301"/>
      <c r="BE2" s="1301"/>
      <c r="BF2" s="1301"/>
      <c r="BG2" s="1301"/>
      <c r="BH2" s="1301"/>
      <c r="BI2" s="1301"/>
      <c r="BJ2" s="1301"/>
      <c r="BK2" s="1301"/>
      <c r="BL2" s="1301"/>
      <c r="BM2" s="1301"/>
      <c r="BN2" s="1301"/>
    </row>
    <row r="3" spans="2:69" ht="5.0999999999999996" customHeight="1">
      <c r="U3" s="4"/>
      <c r="V3" s="4"/>
      <c r="AI3" s="4"/>
      <c r="AJ3" s="4"/>
      <c r="AK3" s="4"/>
      <c r="AS3" s="297"/>
      <c r="AT3" s="177"/>
      <c r="AU3" s="177"/>
      <c r="AV3" s="177"/>
      <c r="AW3" s="177"/>
      <c r="AX3" s="177"/>
      <c r="AY3" s="177"/>
      <c r="AZ3" s="177"/>
      <c r="BA3" s="177"/>
      <c r="BB3" s="4"/>
      <c r="BC3" s="4"/>
      <c r="BD3" s="298"/>
      <c r="BE3" s="4"/>
      <c r="BF3" s="34"/>
      <c r="BG3" s="4"/>
      <c r="BH3" s="4"/>
      <c r="BL3" s="4"/>
      <c r="BM3" s="4"/>
    </row>
    <row r="4" spans="2:69" ht="13.5" customHeight="1">
      <c r="B4" s="4"/>
      <c r="C4" s="4"/>
      <c r="D4" s="4"/>
      <c r="E4" s="4"/>
      <c r="L4" s="1331" t="s">
        <v>1173</v>
      </c>
      <c r="M4" s="1331"/>
      <c r="N4" s="1331"/>
      <c r="O4" s="1331"/>
      <c r="P4" s="1331"/>
      <c r="Q4" s="1331"/>
      <c r="R4" s="299"/>
      <c r="S4" s="300"/>
      <c r="T4" s="1332" t="s">
        <v>1184</v>
      </c>
      <c r="U4" s="1333"/>
      <c r="V4" s="1334"/>
      <c r="W4" s="1335" t="s">
        <v>1185</v>
      </c>
      <c r="X4" s="1335"/>
      <c r="Y4" s="1335"/>
      <c r="Z4" s="1335"/>
      <c r="AA4" s="1335"/>
      <c r="AB4" s="1335"/>
      <c r="AC4" s="1335"/>
      <c r="AD4" s="1335"/>
      <c r="AE4" s="1336"/>
      <c r="AF4" s="1337" t="s">
        <v>1186</v>
      </c>
      <c r="AG4" s="1338"/>
      <c r="AH4" s="1338"/>
      <c r="AI4" s="1339"/>
      <c r="AJ4" s="1340" t="s">
        <v>1188</v>
      </c>
      <c r="AK4" s="1338"/>
      <c r="AL4" s="1338"/>
      <c r="AM4" s="1339"/>
      <c r="AN4" s="1340" t="s">
        <v>1187</v>
      </c>
      <c r="AO4" s="1338"/>
      <c r="AP4" s="1338"/>
      <c r="AQ4" s="1339"/>
      <c r="AR4" s="5"/>
      <c r="AT4" s="34"/>
      <c r="AU4" s="4"/>
      <c r="AV4" s="4"/>
      <c r="AW4" s="4"/>
      <c r="AX4" s="4"/>
      <c r="AY4" s="4"/>
      <c r="AZ4" s="4"/>
      <c r="BA4" s="4"/>
      <c r="BB4" s="4"/>
      <c r="BC4" s="177"/>
      <c r="BD4" s="4"/>
      <c r="BE4" s="5"/>
      <c r="BG4" s="5"/>
      <c r="BH4" s="4"/>
      <c r="BL4" s="4"/>
      <c r="BM4" s="4"/>
    </row>
    <row r="5" spans="2:69" s="309" customFormat="1" ht="75" customHeight="1">
      <c r="B5" s="657" t="s">
        <v>2164</v>
      </c>
      <c r="C5" s="658" t="s">
        <v>1205</v>
      </c>
      <c r="D5" s="658" t="s">
        <v>1206</v>
      </c>
      <c r="E5" s="658" t="s">
        <v>1168</v>
      </c>
      <c r="F5" s="658" t="s">
        <v>1191</v>
      </c>
      <c r="G5" s="658" t="s">
        <v>1169</v>
      </c>
      <c r="H5" s="658" t="s">
        <v>1170</v>
      </c>
      <c r="I5" s="658" t="s">
        <v>1171</v>
      </c>
      <c r="J5" s="658" t="s">
        <v>2218</v>
      </c>
      <c r="K5" s="658" t="s">
        <v>1172</v>
      </c>
      <c r="L5" s="658" t="s">
        <v>1527</v>
      </c>
      <c r="M5" s="658" t="s">
        <v>1528</v>
      </c>
      <c r="N5" s="658" t="s">
        <v>1529</v>
      </c>
      <c r="O5" s="658" t="s">
        <v>1530</v>
      </c>
      <c r="P5" s="658" t="s">
        <v>1531</v>
      </c>
      <c r="Q5" s="658" t="s">
        <v>1532</v>
      </c>
      <c r="R5" s="658" t="s">
        <v>1174</v>
      </c>
      <c r="S5" s="672" t="s">
        <v>1189</v>
      </c>
      <c r="T5" s="301" t="s">
        <v>1175</v>
      </c>
      <c r="U5" s="302" t="s">
        <v>1176</v>
      </c>
      <c r="V5" s="303" t="s">
        <v>1177</v>
      </c>
      <c r="W5" s="304" t="s">
        <v>134</v>
      </c>
      <c r="X5" s="302" t="s">
        <v>902</v>
      </c>
      <c r="Y5" s="302" t="s">
        <v>34</v>
      </c>
      <c r="Z5" s="302" t="s">
        <v>1178</v>
      </c>
      <c r="AA5" s="302" t="s">
        <v>1179</v>
      </c>
      <c r="AB5" s="302" t="s">
        <v>1180</v>
      </c>
      <c r="AC5" s="302" t="s">
        <v>1181</v>
      </c>
      <c r="AD5" s="302" t="s">
        <v>1183</v>
      </c>
      <c r="AE5" s="302" t="s">
        <v>962</v>
      </c>
      <c r="AF5" s="305" t="str">
        <f>"Interest bearing investment
in " &amp;Currency</f>
        <v>Interest bearing investment
in EUR</v>
      </c>
      <c r="AG5" s="306" t="str">
        <f>Currency</f>
        <v>EUR</v>
      </c>
      <c r="AH5" s="306" t="s">
        <v>1023</v>
      </c>
      <c r="AI5" s="307" t="s">
        <v>913</v>
      </c>
      <c r="AJ5" s="305" t="str">
        <f>"Interest bearing investment
in " &amp;Currency</f>
        <v>Interest bearing investment
in EUR</v>
      </c>
      <c r="AK5" s="306" t="str">
        <f>Currency</f>
        <v>EUR</v>
      </c>
      <c r="AL5" s="306" t="s">
        <v>1023</v>
      </c>
      <c r="AM5" s="307" t="s">
        <v>913</v>
      </c>
      <c r="AN5" s="305" t="str">
        <f>"Interest bearing investment
in " &amp;Currency</f>
        <v>Interest bearing investment
in EUR</v>
      </c>
      <c r="AO5" s="306" t="str">
        <f>Currency</f>
        <v>EUR</v>
      </c>
      <c r="AP5" s="306" t="s">
        <v>1023</v>
      </c>
      <c r="AQ5" s="308" t="s">
        <v>913</v>
      </c>
      <c r="AS5" s="659" t="s">
        <v>1204</v>
      </c>
      <c r="AT5" s="677" t="str">
        <f>"Invest
["&amp;InputCurrency&amp;"]"</f>
        <v>Invest
[EUR]</v>
      </c>
      <c r="AU5" s="678" t="s">
        <v>108</v>
      </c>
      <c r="AV5" s="678" t="s">
        <v>548</v>
      </c>
      <c r="AW5" s="678" t="s">
        <v>2073</v>
      </c>
      <c r="AX5" s="678" t="s">
        <v>549</v>
      </c>
      <c r="AY5" s="679" t="s">
        <v>1559</v>
      </c>
      <c r="AZ5" s="679" t="s">
        <v>550</v>
      </c>
      <c r="BA5" s="680" t="s">
        <v>1189</v>
      </c>
      <c r="BB5" s="658" t="s">
        <v>74</v>
      </c>
      <c r="BI5" s="1328" t="s">
        <v>2327</v>
      </c>
      <c r="BJ5" s="1329"/>
      <c r="BK5" s="1330"/>
      <c r="BN5" s="310" t="s">
        <v>52</v>
      </c>
    </row>
    <row r="6" spans="2:69" s="180" customFormat="1" ht="4.5" customHeight="1">
      <c r="B6" s="311" t="s">
        <v>148</v>
      </c>
      <c r="C6" s="312" t="s">
        <v>50</v>
      </c>
      <c r="D6" s="312" t="s">
        <v>54</v>
      </c>
      <c r="E6" s="312" t="s">
        <v>988</v>
      </c>
      <c r="F6" s="312" t="s">
        <v>989</v>
      </c>
      <c r="G6" s="312" t="s">
        <v>1045</v>
      </c>
      <c r="H6" s="312" t="s">
        <v>990</v>
      </c>
      <c r="I6" s="312" t="s">
        <v>1015</v>
      </c>
      <c r="J6" s="180" t="s">
        <v>2182</v>
      </c>
      <c r="K6" s="312" t="s">
        <v>1018</v>
      </c>
      <c r="L6" s="313" t="s">
        <v>1526</v>
      </c>
      <c r="M6" s="180" t="s">
        <v>1237</v>
      </c>
      <c r="N6" s="180" t="s">
        <v>1265</v>
      </c>
      <c r="O6" s="180" t="s">
        <v>1266</v>
      </c>
      <c r="P6" s="180" t="s">
        <v>913</v>
      </c>
      <c r="Q6" s="180" t="s">
        <v>1267</v>
      </c>
      <c r="R6" s="312" t="s">
        <v>1019</v>
      </c>
      <c r="S6" s="313" t="s">
        <v>1083</v>
      </c>
      <c r="T6" s="314" t="s">
        <v>1034</v>
      </c>
      <c r="U6" s="312" t="s">
        <v>1035</v>
      </c>
      <c r="V6" s="315" t="s">
        <v>1037</v>
      </c>
      <c r="W6" s="316" t="s">
        <v>1047</v>
      </c>
      <c r="X6" s="312" t="s">
        <v>140</v>
      </c>
      <c r="Y6" s="312" t="s">
        <v>1048</v>
      </c>
      <c r="Z6" s="312" t="s">
        <v>1049</v>
      </c>
      <c r="AA6" s="312" t="s">
        <v>1050</v>
      </c>
      <c r="AB6" s="312" t="s">
        <v>1051</v>
      </c>
      <c r="AC6" s="312" t="s">
        <v>1052</v>
      </c>
      <c r="AD6" s="312" t="s">
        <v>1053</v>
      </c>
      <c r="AE6" s="312" t="s">
        <v>1054</v>
      </c>
      <c r="AF6" s="317" t="s">
        <v>1070</v>
      </c>
      <c r="AG6" s="318" t="s">
        <v>1071</v>
      </c>
      <c r="AH6" s="318" t="s">
        <v>1072</v>
      </c>
      <c r="AI6" s="319" t="s">
        <v>1073</v>
      </c>
      <c r="AJ6" s="320" t="s">
        <v>1074</v>
      </c>
      <c r="AK6" s="318" t="s">
        <v>1075</v>
      </c>
      <c r="AL6" s="318" t="s">
        <v>1076</v>
      </c>
      <c r="AM6" s="319" t="s">
        <v>1077</v>
      </c>
      <c r="AN6" s="320" t="s">
        <v>1078</v>
      </c>
      <c r="AO6" s="318" t="s">
        <v>1079</v>
      </c>
      <c r="AP6" s="318" t="s">
        <v>1080</v>
      </c>
      <c r="AQ6" s="321" t="s">
        <v>1081</v>
      </c>
      <c r="AR6" s="322"/>
      <c r="AS6" s="322" t="s">
        <v>2</v>
      </c>
      <c r="AT6" s="322" t="s">
        <v>438</v>
      </c>
      <c r="AU6" s="322" t="s">
        <v>1038</v>
      </c>
      <c r="AV6" s="322" t="s">
        <v>21</v>
      </c>
      <c r="AW6" s="322" t="s">
        <v>439</v>
      </c>
      <c r="AX6" s="322" t="s">
        <v>447</v>
      </c>
      <c r="AY6" s="322" t="s">
        <v>448</v>
      </c>
      <c r="AZ6" s="322" t="s">
        <v>449</v>
      </c>
      <c r="BA6" s="322" t="s">
        <v>1066</v>
      </c>
      <c r="BB6" s="323" t="s">
        <v>1045</v>
      </c>
      <c r="BI6" s="322" t="s">
        <v>59</v>
      </c>
      <c r="BJ6" s="322" t="s">
        <v>2329</v>
      </c>
      <c r="BK6" s="322" t="s">
        <v>439</v>
      </c>
    </row>
    <row r="7" spans="2:69">
      <c r="B7" s="671" t="str">
        <f>IF(Language="DE",MGK[[#This Row],[DE]],MGK[[#This Row],[EN]])</f>
        <v>C-Parts</v>
      </c>
      <c r="C7" s="228" t="s">
        <v>1102</v>
      </c>
      <c r="D7" s="228" t="s">
        <v>961</v>
      </c>
      <c r="E7" s="228" t="s">
        <v>991</v>
      </c>
      <c r="F7" s="228" t="s">
        <v>1000</v>
      </c>
      <c r="G7" s="228" t="s">
        <v>991</v>
      </c>
      <c r="H7" s="228" t="s">
        <v>1039</v>
      </c>
      <c r="I7" s="228" t="s">
        <v>993</v>
      </c>
      <c r="J7" s="324" t="s">
        <v>2183</v>
      </c>
      <c r="K7" s="228">
        <v>4</v>
      </c>
      <c r="L7" s="325">
        <v>1000</v>
      </c>
      <c r="M7" s="326">
        <v>10</v>
      </c>
      <c r="N7" s="326">
        <v>10</v>
      </c>
      <c r="O7" s="326">
        <v>1000</v>
      </c>
      <c r="P7" s="326"/>
      <c r="Q7" s="326"/>
      <c r="R7" s="324">
        <v>0.01</v>
      </c>
      <c r="S7" s="673" t="str">
        <f>IFERROR(INDEX(MGKMHR[Gerät],MATCH(MGK[[#This Row],[Lagerart]],MGKMHR[Bezeichnung],0)),0)</f>
        <v>E-Stapler</v>
      </c>
      <c r="T7" s="674" cm="1">
        <f t="array" ref="T7">IFERROR(IF(MGK[[#This Row],[Bestellaufwand]]="gering",0.25, IF(MGK[[#This Row],[Bestellaufwand]]="mittel",1.5,IF(MGK[[#This Row],[Bestellaufwand]]="hoch",8,0))),0)
+IFERROR(IF(MGK[[#This Row],[Bestellaufwand]]="gering",0.25, IF(MGK[[#This Row],[Bestellaufwand]]="mittel",0.5,IF(MGK[[#This Row],[Bestellaufwand]]="hoch",1,0)))*OrdersPerYear,0)</f>
        <v>0.5</v>
      </c>
      <c r="U7" s="671">
        <f>SUM(MGK[[#This Row],[Maße]:[Elekronik]])</f>
        <v>0</v>
      </c>
      <c r="V7" s="675" cm="1">
        <f t="array" ref="V7">IFERROR(INDEX(MGKMHR[Handling],MATCH(MGK[[#This Row],[Lagerart]],MGKMHR[Bezeichnung],0))
*(OrdersPerYear+52/MGK[[#This Row],[Lagerreichweite]])*IF(MGK[[#This Row],[Handling]]="gering",0.25,IF(MGK[[#This Row],[Handling]]="hoch",2,1)),0)</f>
        <v>0.70000000000000007</v>
      </c>
      <c r="W7" s="676" cm="1">
        <f t="array" ref="W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7" s="660" cm="1">
        <f t="array" ref="X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7" s="660" cm="1">
        <f t="array" ref="Y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7" s="660" cm="1">
        <f t="array" ref="Z7">OrdersPerYear*IF(MGK[[#This Row],[Prüfaufwand]]="gering",0.25,IF(MGK[[#This Row],[Prüfaufwand]]="mittel",0.5,IF(MGK[[#This Row],[Prüfaufwand]]="hoch",1,0)))
*IF(MGK[[#This Row],[Spezifiaktion]]="Zusammenbau",1,0)*1</f>
        <v>0</v>
      </c>
      <c r="AA7" s="660" cm="1">
        <f t="array" ref="AA7">OrdersPerYear*IF(MGK[[#This Row],[Prüfaufwand]]="hoch",1,0)
*IF(MGK[[#This Row],[Spezifiaktion]]="Zusammenbau",1,0)*0.25</f>
        <v>0</v>
      </c>
      <c r="AB7" s="660" cm="1">
        <f t="array" ref="AB7">OrdersPerYear*IF(MGK[[#This Row],[Prüfaufwand]]="hoch",1,0)
*IF(MGK[[#This Row],[Spezifiaktion]]="Zusammenbau",1,0)*0.25</f>
        <v>0</v>
      </c>
      <c r="AC7" s="660" cm="1">
        <f t="array" ref="AC7">OrdersPerYear*IF(MGK[[#This Row],[Prüfaufwand]]="mittel",0.5,IF(MGK[[#This Row],[Prüfaufwand]]="hoch",1,0))
*IF(MGK[[#This Row],[Spezifiaktion]]="Zusammenbau",1,0)*1.5</f>
        <v>0</v>
      </c>
      <c r="AD7" s="660" cm="1">
        <f t="array" ref="AD7">OrdersPerYear*IF(MGK[[#This Row],[Prüfaufwand]]="hoch",1,0)
*IF(MGK[[#This Row],[Spezifiaktion]]="Zusammenbau",1,0)*0.25</f>
        <v>0</v>
      </c>
      <c r="AE7" s="660" cm="1">
        <f t="array" ref="AE7">OrdersPerYear*IF(MGK[[#This Row],[Bestellaufwand]]="gering",0.15,IF(MGK[[#This Row],[Bestellaufwand]]="mittel",0.5,IF(MGK[[#This Row],[Prüfaufwand]]="hoch",1,0)))
*IF(MGK[[#This Row],[Spezifiaktion]]="Elektronik",1,0)*1</f>
        <v>0</v>
      </c>
      <c r="AF7" s="661" cm="1">
        <f t="array" ref="AF7">IFERROR(SUMPRODUCT(MGK[[#This Row],[Maße]:[Elekronik]],TRANSPOSE($AT$8:$AT$16))*ExchangeRate/SUM(MGK[[#This Row],[Maße]:[Elekronik]]),0)</f>
        <v>0</v>
      </c>
      <c r="AG7" s="671" cm="1">
        <f t="array" ref="AG7">IFERROR((SUMPRODUCT(MGK[[#This Row],[Maße]:[Elekronik]],TRANSPOSE($AT$8:$AT$16),1/TRANSPOSE($AU$8:$AU$16))+SUMPRODUCT(MGK[[#This Row],[Maße]:[Elekronik]],TRANSPOSE($AT$8:$AT$16),TRANSPOSE($AY$8:$AY$16))+SUMPRODUCT(MGK[[#This Row],[Maße]:[Elekronik]],TRANSPOSE($AT$8:$AT$16),TRANSPOSE($AZ$8:$AZ$16)))*ExchangeRate/(250*8*0.8)/SUM(MGK[[#This Row],[Maße]:[Elekronik]]),0)</f>
        <v>0</v>
      </c>
      <c r="AH7" s="671" cm="1">
        <f t="array" ref="AH7">IFERROR(SUMPRODUCT(MGK[[#This Row],[Maße]:[Elekronik]],TRANSPOSE($AV$8:$AV$16),TRANSPOSE($AW$8:$AW$16))/SUM(MGK[[#This Row],[Maße]:[Elekronik]]),0)</f>
        <v>0</v>
      </c>
      <c r="AI7" s="671" cm="1">
        <f t="array" ref="AI7">IFERROR(SUMPRODUCT(MGK[[#This Row],[Maße]:[Elekronik]],TRANSPOSE($AX$8:$AX$16))/SUM(MGK[[#This Row],[Maße]:[Elekronik]]),0)</f>
        <v>0</v>
      </c>
      <c r="AJ7" s="671">
        <f>IFERROR(INDEX(MGKMHR[Invest],MATCH(MGK[[#This Row],[Lagerart]],MGKMHR[Bezeichnung],0))*ExchangeRate,0)</f>
        <v>30.6</v>
      </c>
      <c r="AK7" s="671">
        <f>IFERROR(MGK[[#This Row],[L-Invest]]*(1/INDEX(MGKMHR[AfA],MATCH(MGK[[#This Row],[Lagerart]],MGKMHR[Bezeichnung],0))+INDEX(MGKMHR[Verbrauchsmaterial],MATCH(MGK[[#This Row],[Lagerart]],MGKMHR[Bezeichnung],0))+INDEX(MGKMHR[Instandhaltung],MATCH(MGK[[#This Row],[Lagerart]],MGKMHR[Bezeichnung],0)))/(365*24),0)</f>
        <v>4.3547945205479459E-4</v>
      </c>
      <c r="AL7" s="671">
        <f>IFERROR(INDEX(MGKMHR[Strom],MATCH(MGK[[#This Row],[Lagerart]],MGKMHR[Bezeichnung],0))*INDEX(MGKMHR[Faktor],MATCH(MGK[[#This Row],[Lagerart]],MGKMHR[Bezeichnung],0)),0)</f>
        <v>5.4794520547945206E-3</v>
      </c>
      <c r="AM7" s="671">
        <f>IFERROR(INDEX(MGKMHR[Fläche],MATCH(MGK[[#This Row],[Lagerart]],MGKMHR[Bezeichnung],0)),0)</f>
        <v>0.5</v>
      </c>
      <c r="AN7" s="661">
        <f>IFERROR(INDEX(MGKMHR[Invest],MATCH(MGK[[#This Row],[Lagerbediengerät]],MGKMHR[Bezeichnung],0))*ExchangeRate,0)</f>
        <v>20000</v>
      </c>
      <c r="AO7" s="671">
        <f>IFERROR(MGK[[#This Row],[B-Invest]]*(1/INDEX(MGKMHR[AfA],MATCH(MGK[[#This Row],[Lagerbediengerät]],MGKMHR[Bezeichnung],0))+INDEX(MGKMHR[Verbrauchsmaterial],MATCH(MGK[[#This Row],[Lagerbediengerät]],MGKMHR[Bezeichnung],0))+INDEX(MGKMHR[Instandhaltung],MATCH(MGK[[#This Row],[Lagerbediengerät]],MGKMHR[Bezeichnung],0)))/(250*16*0.8),0)</f>
        <v>6.25</v>
      </c>
      <c r="AP7" s="671">
        <f>IFERROR(INDEX(MGKMHR[Strom],MATCH(MGK[[#This Row],[Lagerbediengerät]],MGKMHR[Bezeichnung],0))*INDEX(MGKMHR[Faktor],MATCH(MGK[[#This Row],[Lagerbediengerät]],MGKMHR[Bezeichnung],0)),0)</f>
        <v>9.6999999999999993</v>
      </c>
      <c r="AQ7" s="671">
        <f>IFERROR(INDEX(MGKMHR[Fläche],MATCH(MGK[[#This Row],[Lagerbediengerät]],MGKMHR[Bezeichnung],0)),0)</f>
        <v>0</v>
      </c>
      <c r="AR7" s="327"/>
      <c r="AS7" s="666" t="s">
        <v>1024</v>
      </c>
      <c r="AT7" s="228">
        <v>2500</v>
      </c>
      <c r="AU7" s="228">
        <v>3</v>
      </c>
      <c r="AV7" s="228">
        <v>0.3</v>
      </c>
      <c r="AW7" s="228">
        <v>0.5</v>
      </c>
      <c r="AX7" s="228">
        <v>2.5</v>
      </c>
      <c r="AY7" s="328">
        <v>0.02</v>
      </c>
      <c r="AZ7" s="328">
        <v>3.7999999999999999E-2</v>
      </c>
      <c r="BA7" s="328"/>
      <c r="BB7" s="328"/>
      <c r="BE7" s="5"/>
      <c r="BG7" s="5"/>
      <c r="BI7" s="660" t="str">
        <f>IF(Language="DE","pcs.","Stk.")</f>
        <v>Stk.</v>
      </c>
      <c r="BJ7" s="660" t="s">
        <v>1526</v>
      </c>
      <c r="BK7" s="661">
        <v>1</v>
      </c>
    </row>
    <row r="8" spans="2:69">
      <c r="B8" s="671" t="str">
        <f>IF(Language="DE",MGK[[#This Row],[DE]],MGK[[#This Row],[EN]])</f>
        <v>Assy light</v>
      </c>
      <c r="C8" s="228" t="s">
        <v>1260</v>
      </c>
      <c r="D8" s="228" t="s">
        <v>1007</v>
      </c>
      <c r="E8" s="228" t="s">
        <v>995</v>
      </c>
      <c r="F8" s="228" t="s">
        <v>1001</v>
      </c>
      <c r="G8" s="228" t="s">
        <v>995</v>
      </c>
      <c r="H8" s="228" t="s">
        <v>995</v>
      </c>
      <c r="I8" s="228" t="s">
        <v>709</v>
      </c>
      <c r="J8" s="324" t="s">
        <v>2184</v>
      </c>
      <c r="K8" s="228">
        <v>4</v>
      </c>
      <c r="L8" s="325">
        <v>100</v>
      </c>
      <c r="M8" s="326"/>
      <c r="N8" s="326"/>
      <c r="O8" s="326"/>
      <c r="P8" s="326"/>
      <c r="Q8" s="326"/>
      <c r="R8" s="324">
        <v>1</v>
      </c>
      <c r="S8" s="673">
        <f>IFERROR(INDEX(MGKMHR[Gerät],MATCH(MGK[[#This Row],[Lagerart]],MGKMHR[Bezeichnung],0)),0)</f>
        <v>0</v>
      </c>
      <c r="T8" s="674" cm="1">
        <f t="array" ref="T8">IFERROR(IF(MGK[[#This Row],[Bestellaufwand]]="gering",0.25, IF(MGK[[#This Row],[Bestellaufwand]]="mittel",1.5,IF(MGK[[#This Row],[Bestellaufwand]]="hoch",8,0))),0)
+IFERROR(IF(MGK[[#This Row],[Bestellaufwand]]="gering",0.25, IF(MGK[[#This Row],[Bestellaufwand]]="mittel",0.5,IF(MGK[[#This Row],[Bestellaufwand]]="hoch",1,0)))*OrdersPerYear,0)</f>
        <v>7.5</v>
      </c>
      <c r="U8" s="671">
        <f>SUM(MGK[[#This Row],[Maße]:[Elekronik]])</f>
        <v>28.5</v>
      </c>
      <c r="V8" s="675" cm="1">
        <f t="array" ref="V8">IFERROR(INDEX(MGKMHR[Handling],MATCH(MGK[[#This Row],[Lagerart]],MGKMHR[Bezeichnung],0))
*(OrdersPerYear+52/MGK[[#This Row],[Lagerreichweite]])*IF(MGK[[#This Row],[Handling]]="gering",0.25,IF(MGK[[#This Row],[Handling]]="hoch",2,1)),0)</f>
        <v>1.5</v>
      </c>
      <c r="W8" s="676" cm="1">
        <f t="array" ref="W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X8" s="660" cm="1">
        <f t="array" ref="X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Y8" s="660" cm="1">
        <f t="array" ref="Y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Z8" s="660" cm="1">
        <f t="array" ref="Z8">OrdersPerYear*IF(MGK[[#This Row],[Prüfaufwand]]="gering",0.25,IF(MGK[[#This Row],[Prüfaufwand]]="mittel",0.5,IF(MGK[[#This Row],[Prüfaufwand]]="hoch",1,0)))
*IF(MGK[[#This Row],[Spezifiaktion]]="Zusammenbau",1,0)*1</f>
        <v>6</v>
      </c>
      <c r="AA8" s="660" cm="1">
        <f t="array" ref="AA8">OrdersPerYear*IF(MGK[[#This Row],[Prüfaufwand]]="hoch",1,0)
*IF(MGK[[#This Row],[Spezifiaktion]]="Zusammenbau",1,0)*0.25</f>
        <v>0</v>
      </c>
      <c r="AB8" s="660" cm="1">
        <f t="array" ref="AB8">OrdersPerYear*IF(MGK[[#This Row],[Prüfaufwand]]="hoch",1,0)
*IF(MGK[[#This Row],[Spezifiaktion]]="Zusammenbau",1,0)*0.25</f>
        <v>0</v>
      </c>
      <c r="AC8" s="660" cm="1">
        <f t="array" ref="AC8">OrdersPerYear*IF(MGK[[#This Row],[Prüfaufwand]]="mittel",0.5,IF(MGK[[#This Row],[Prüfaufwand]]="hoch",1,0))
*IF(MGK[[#This Row],[Spezifiaktion]]="Zusammenbau",1,0)*1.5</f>
        <v>9</v>
      </c>
      <c r="AD8" s="660" cm="1">
        <f t="array" ref="AD8">OrdersPerYear*IF(MGK[[#This Row],[Prüfaufwand]]="hoch",1,0)
*IF(MGK[[#This Row],[Spezifiaktion]]="Zusammenbau",1,0)*0.25</f>
        <v>0</v>
      </c>
      <c r="AE8" s="660" cm="1">
        <f t="array" ref="AE8">OrdersPerYear*IF(MGK[[#This Row],[Bestellaufwand]]="gering",0.15,IF(MGK[[#This Row],[Bestellaufwand]]="mittel",0.5,IF(MGK[[#This Row],[Prüfaufwand]]="hoch",1,0)))
*IF(MGK[[#This Row],[Spezifiaktion]]="Elektronik",1,0)*1</f>
        <v>0</v>
      </c>
      <c r="AF8" s="661" cm="1">
        <f t="array" ref="AF8">IFERROR(SUMPRODUCT(MGK[[#This Row],[Maße]:[Elekronik]],TRANSPOSE($AT$8:$AT$16))*ExchangeRate/SUM(MGK[[#This Row],[Maße]:[Elekronik]]),0)</f>
        <v>92094.736842105267</v>
      </c>
      <c r="AG8" s="671" cm="1">
        <f t="array" ref="AG8">IFERROR((SUMPRODUCT(MGK[[#This Row],[Maße]:[Elekronik]],TRANSPOSE($AT$8:$AT$16),1/TRANSPOSE($AU$8:$AU$16))+SUMPRODUCT(MGK[[#This Row],[Maße]:[Elekronik]],TRANSPOSE($AT$8:$AT$16),TRANSPOSE($AY$8:$AY$16))+SUMPRODUCT(MGK[[#This Row],[Maße]:[Elekronik]],TRANSPOSE($AT$8:$AT$16),TRANSPOSE($AZ$8:$AZ$16)))*ExchangeRate/(250*8*0.8)/SUM(MGK[[#This Row],[Maße]:[Elekronik]]),0)</f>
        <v>7.4498063909774448</v>
      </c>
      <c r="AH8" s="671" cm="1">
        <f t="array" ref="AH8">IFERROR(SUMPRODUCT(MGK[[#This Row],[Maße]:[Elekronik]],TRANSPOSE($AV$8:$AV$16),TRANSPOSE($AW$8:$AW$16))/SUM(MGK[[#This Row],[Maße]:[Elekronik]]),0)</f>
        <v>11.315789473684211</v>
      </c>
      <c r="AI8" s="671" cm="1">
        <f t="array" ref="AI8">IFERROR(SUMPRODUCT(MGK[[#This Row],[Maße]:[Elekronik]],TRANSPOSE($AX$8:$AX$16))/SUM(MGK[[#This Row],[Maße]:[Elekronik]]),0)</f>
        <v>7.3684210526315788</v>
      </c>
      <c r="AJ8" s="671">
        <f>IFERROR(INDEX(MGKMHR[Invest],MATCH(MGK[[#This Row],[Lagerart]],MGKMHR[Bezeichnung],0))*ExchangeRate,0)</f>
        <v>313</v>
      </c>
      <c r="AK8" s="671">
        <f>IFERROR(MGK[[#This Row],[L-Invest]]*(1/INDEX(MGKMHR[AfA],MATCH(MGK[[#This Row],[Lagerart]],MGKMHR[Bezeichnung],0))+INDEX(MGKMHR[Verbrauchsmaterial],MATCH(MGK[[#This Row],[Lagerart]],MGKMHR[Bezeichnung],0))+INDEX(MGKMHR[Instandhaltung],MATCH(MGK[[#This Row],[Lagerart]],MGKMHR[Bezeichnung],0)))/(365*24),0)</f>
        <v>4.4544140030441408E-3</v>
      </c>
      <c r="AL8" s="671">
        <f>IFERROR(INDEX(MGKMHR[Strom],MATCH(MGK[[#This Row],[Lagerart]],MGKMHR[Bezeichnung],0))*INDEX(MGKMHR[Faktor],MATCH(MGK[[#This Row],[Lagerart]],MGKMHR[Bezeichnung],0)),0)</f>
        <v>2.0700152207001523E-3</v>
      </c>
      <c r="AM8" s="671">
        <f>IFERROR(INDEX(MGKMHR[Fläche],MATCH(MGK[[#This Row],[Lagerart]],MGKMHR[Bezeichnung],0)),0)</f>
        <v>0.18888888888888888</v>
      </c>
      <c r="AN8" s="661">
        <f>IFERROR(INDEX(MGKMHR[Invest],MATCH(MGK[[#This Row],[Lagerbediengerät]],MGKMHR[Bezeichnung],0))*ExchangeRate,0)</f>
        <v>0</v>
      </c>
      <c r="AO8" s="671">
        <f>IFERROR(MGK[[#This Row],[B-Invest]]*(1/INDEX(MGKMHR[AfA],MATCH(MGK[[#This Row],[Lagerbediengerät]],MGKMHR[Bezeichnung],0))+INDEX(MGKMHR[Verbrauchsmaterial],MATCH(MGK[[#This Row],[Lagerbediengerät]],MGKMHR[Bezeichnung],0))+INDEX(MGKMHR[Instandhaltung],MATCH(MGK[[#This Row],[Lagerbediengerät]],MGKMHR[Bezeichnung],0)))/(250*16*0.8),0)</f>
        <v>0</v>
      </c>
      <c r="AP8" s="671">
        <f>IFERROR(INDEX(MGKMHR[Strom],MATCH(MGK[[#This Row],[Lagerbediengerät]],MGKMHR[Bezeichnung],0))*INDEX(MGKMHR[Faktor],MATCH(MGK[[#This Row],[Lagerbediengerät]],MGKMHR[Bezeichnung],0)),0)</f>
        <v>0</v>
      </c>
      <c r="AQ8" s="671">
        <f>IFERROR(INDEX(MGKMHR[Fläche],MATCH(MGK[[#This Row],[Lagerbediengerät]],MGKMHR[Bezeichnung],0)),0)</f>
        <v>0</v>
      </c>
      <c r="AR8" s="327"/>
      <c r="AS8" s="666" t="s">
        <v>1025</v>
      </c>
      <c r="AT8" s="228">
        <v>200000</v>
      </c>
      <c r="AU8" s="228">
        <v>14</v>
      </c>
      <c r="AV8" s="228">
        <v>13</v>
      </c>
      <c r="AW8" s="228">
        <v>1</v>
      </c>
      <c r="AX8" s="228">
        <v>10</v>
      </c>
      <c r="AY8" s="328">
        <v>0.02</v>
      </c>
      <c r="AZ8" s="328">
        <v>3.7999999999999999E-2</v>
      </c>
      <c r="BA8" s="328"/>
      <c r="BB8" s="328"/>
      <c r="BE8" s="5"/>
      <c r="BG8" s="5"/>
      <c r="BI8" s="660" t="str">
        <f>IF(Language="DE","Stk.","pcs.")</f>
        <v>pcs.</v>
      </c>
      <c r="BJ8" s="660" t="s">
        <v>1526</v>
      </c>
      <c r="BK8" s="661">
        <v>1</v>
      </c>
    </row>
    <row r="9" spans="2:69">
      <c r="B9" s="671" t="str">
        <f>IF(Language="DE",MGK[[#This Row],[DE]],MGK[[#This Row],[EN]])</f>
        <v>Assy complex</v>
      </c>
      <c r="C9" s="228" t="s">
        <v>1006</v>
      </c>
      <c r="D9" s="228" t="s">
        <v>1103</v>
      </c>
      <c r="E9" s="228" t="s">
        <v>994</v>
      </c>
      <c r="F9" s="228" t="s">
        <v>1000</v>
      </c>
      <c r="G9" s="228" t="s">
        <v>995</v>
      </c>
      <c r="H9" s="228" t="s">
        <v>994</v>
      </c>
      <c r="I9" s="228" t="s">
        <v>709</v>
      </c>
      <c r="J9" s="324" t="s">
        <v>2184</v>
      </c>
      <c r="K9" s="228">
        <v>4</v>
      </c>
      <c r="L9" s="325">
        <v>100</v>
      </c>
      <c r="M9" s="326"/>
      <c r="N9" s="326"/>
      <c r="O9" s="326"/>
      <c r="P9" s="326"/>
      <c r="Q9" s="326"/>
      <c r="R9" s="324">
        <v>1</v>
      </c>
      <c r="S9" s="673" t="str">
        <f>IFERROR(INDEX(MGKMHR[Gerät],MATCH(MGK[[#This Row],[Lagerart]],MGKMHR[Bezeichnung],0)),0)</f>
        <v>E-Stapler</v>
      </c>
      <c r="T9" s="674" cm="1">
        <f t="array" ref="T9">IFERROR(IF(MGK[[#This Row],[Bestellaufwand]]="gering",0.25, IF(MGK[[#This Row],[Bestellaufwand]]="mittel",1.5,IF(MGK[[#This Row],[Bestellaufwand]]="hoch",8,0))),0)
+IFERROR(IF(MGK[[#This Row],[Bestellaufwand]]="gering",0.25, IF(MGK[[#This Row],[Bestellaufwand]]="mittel",0.5,IF(MGK[[#This Row],[Bestellaufwand]]="hoch",1,0)))*OrdersPerYear,0)</f>
        <v>20</v>
      </c>
      <c r="U9" s="671">
        <f>SUM(MGK[[#This Row],[Maße]:[Elekronik]])</f>
        <v>66</v>
      </c>
      <c r="V9" s="675" cm="1">
        <f t="array" ref="V9">IFERROR(INDEX(MGKMHR[Handling],MATCH(MGK[[#This Row],[Lagerart]],MGKMHR[Bezeichnung],0))
*(OrdersPerYear+52/MGK[[#This Row],[Lagerreichweite]])*IF(MGK[[#This Row],[Handling]]="gering",0.25,IF(MGK[[#This Row],[Handling]]="hoch",2,1)),0)</f>
        <v>5</v>
      </c>
      <c r="W9" s="676" cm="1">
        <f t="array" ref="W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X9" s="660" cm="1">
        <f t="array" ref="X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Y9" s="660" cm="1">
        <f t="array" ref="Y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Z9" s="660" cm="1">
        <f t="array" ref="Z9">OrdersPerYear*IF(MGK[[#This Row],[Prüfaufwand]]="gering",0.25,IF(MGK[[#This Row],[Prüfaufwand]]="mittel",0.5,IF(MGK[[#This Row],[Prüfaufwand]]="hoch",1,0)))
*IF(MGK[[#This Row],[Spezifiaktion]]="Zusammenbau",1,0)*1</f>
        <v>12</v>
      </c>
      <c r="AA9" s="660" cm="1">
        <f t="array" ref="AA9">OrdersPerYear*IF(MGK[[#This Row],[Prüfaufwand]]="hoch",1,0)
*IF(MGK[[#This Row],[Spezifiaktion]]="Zusammenbau",1,0)*0.25</f>
        <v>3</v>
      </c>
      <c r="AB9" s="660" cm="1">
        <f t="array" ref="AB9">OrdersPerYear*IF(MGK[[#This Row],[Prüfaufwand]]="hoch",1,0)
*IF(MGK[[#This Row],[Spezifiaktion]]="Zusammenbau",1,0)*0.25</f>
        <v>3</v>
      </c>
      <c r="AC9" s="660" cm="1">
        <f t="array" ref="AC9">OrdersPerYear*IF(MGK[[#This Row],[Prüfaufwand]]="mittel",0.5,IF(MGK[[#This Row],[Prüfaufwand]]="hoch",1,0))
*IF(MGK[[#This Row],[Spezifiaktion]]="Zusammenbau",1,0)*1.5</f>
        <v>18</v>
      </c>
      <c r="AD9" s="660" cm="1">
        <f t="array" ref="AD9">OrdersPerYear*IF(MGK[[#This Row],[Prüfaufwand]]="hoch",1,0)
*IF(MGK[[#This Row],[Spezifiaktion]]="Zusammenbau",1,0)*0.25</f>
        <v>3</v>
      </c>
      <c r="AE9" s="660" cm="1">
        <f t="array" ref="AE9">OrdersPerYear*IF(MGK[[#This Row],[Bestellaufwand]]="gering",0.15,IF(MGK[[#This Row],[Bestellaufwand]]="mittel",0.5,IF(MGK[[#This Row],[Prüfaufwand]]="hoch",1,0)))
*IF(MGK[[#This Row],[Spezifiaktion]]="Elektronik",1,0)*1</f>
        <v>0</v>
      </c>
      <c r="AF9" s="661" cm="1">
        <f t="array" ref="AF9">IFERROR(SUMPRODUCT(MGK[[#This Row],[Maße]:[Elekronik]],TRANSPOSE($AT$8:$AT$16))*ExchangeRate/SUM(MGK[[#This Row],[Maße]:[Elekronik]]),0)</f>
        <v>115727.27272727272</v>
      </c>
      <c r="AG9" s="671" cm="1">
        <f t="array" ref="AG9">IFERROR((SUMPRODUCT(MGK[[#This Row],[Maße]:[Elekronik]],TRANSPOSE($AT$8:$AT$16),1/TRANSPOSE($AU$8:$AU$16))+SUMPRODUCT(MGK[[#This Row],[Maße]:[Elekronik]],TRANSPOSE($AT$8:$AT$16),TRANSPOSE($AY$8:$AY$16))+SUMPRODUCT(MGK[[#This Row],[Maße]:[Elekronik]],TRANSPOSE($AT$8:$AT$16),TRANSPOSE($AZ$8:$AZ$16)))*ExchangeRate/(250*8*0.8)/SUM(MGK[[#This Row],[Maße]:[Elekronik]]),0)</f>
        <v>9.3615097402597396</v>
      </c>
      <c r="AH9" s="671" cm="1">
        <f t="array" ref="AH9">IFERROR(SUMPRODUCT(MGK[[#This Row],[Maße]:[Elekronik]],TRANSPOSE($AV$8:$AV$16),TRANSPOSE($AW$8:$AW$16))/SUM(MGK[[#This Row],[Maße]:[Elekronik]]),0)</f>
        <v>14.165909090909089</v>
      </c>
      <c r="AI9" s="671" cm="1">
        <f t="array" ref="AI9">IFERROR(SUMPRODUCT(MGK[[#This Row],[Maße]:[Elekronik]],TRANSPOSE($AX$8:$AX$16))/SUM(MGK[[#This Row],[Maße]:[Elekronik]]),0)</f>
        <v>7.7272727272727275</v>
      </c>
      <c r="AJ9" s="671">
        <f>IFERROR(INDEX(MGKMHR[Invest],MATCH(MGK[[#This Row],[Lagerart]],MGKMHR[Bezeichnung],0))*ExchangeRate,0)</f>
        <v>30.6</v>
      </c>
      <c r="AK9" s="671">
        <f>IFERROR(MGK[[#This Row],[L-Invest]]*(1/INDEX(MGKMHR[AfA],MATCH(MGK[[#This Row],[Lagerart]],MGKMHR[Bezeichnung],0))+INDEX(MGKMHR[Verbrauchsmaterial],MATCH(MGK[[#This Row],[Lagerart]],MGKMHR[Bezeichnung],0))+INDEX(MGKMHR[Instandhaltung],MATCH(MGK[[#This Row],[Lagerart]],MGKMHR[Bezeichnung],0)))/(365*24),0)</f>
        <v>4.3547945205479459E-4</v>
      </c>
      <c r="AL9" s="671">
        <f>IFERROR(INDEX(MGKMHR[Strom],MATCH(MGK[[#This Row],[Lagerart]],MGKMHR[Bezeichnung],0))*INDEX(MGKMHR[Faktor],MATCH(MGK[[#This Row],[Lagerart]],MGKMHR[Bezeichnung],0)),0)</f>
        <v>5.4794520547945206E-3</v>
      </c>
      <c r="AM9" s="671">
        <f>IFERROR(INDEX(MGKMHR[Fläche],MATCH(MGK[[#This Row],[Lagerart]],MGKMHR[Bezeichnung],0)),0)</f>
        <v>0.5</v>
      </c>
      <c r="AN9" s="661">
        <f>IFERROR(INDEX(MGKMHR[Invest],MATCH(MGK[[#This Row],[Lagerbediengerät]],MGKMHR[Bezeichnung],0))*ExchangeRate,0)</f>
        <v>20000</v>
      </c>
      <c r="AO9" s="671">
        <f>IFERROR(MGK[[#This Row],[B-Invest]]*(1/INDEX(MGKMHR[AfA],MATCH(MGK[[#This Row],[Lagerbediengerät]],MGKMHR[Bezeichnung],0))+INDEX(MGKMHR[Verbrauchsmaterial],MATCH(MGK[[#This Row],[Lagerbediengerät]],MGKMHR[Bezeichnung],0))+INDEX(MGKMHR[Instandhaltung],MATCH(MGK[[#This Row],[Lagerbediengerät]],MGKMHR[Bezeichnung],0)))/(250*16*0.8),0)</f>
        <v>6.25</v>
      </c>
      <c r="AP9" s="671">
        <f>IFERROR(INDEX(MGKMHR[Strom],MATCH(MGK[[#This Row],[Lagerbediengerät]],MGKMHR[Bezeichnung],0))*INDEX(MGKMHR[Faktor],MATCH(MGK[[#This Row],[Lagerbediengerät]],MGKMHR[Bezeichnung],0)),0)</f>
        <v>9.6999999999999993</v>
      </c>
      <c r="AQ9" s="671">
        <f>IFERROR(INDEX(MGKMHR[Fläche],MATCH(MGK[[#This Row],[Lagerbediengerät]],MGKMHR[Bezeichnung],0)),0)</f>
        <v>0</v>
      </c>
      <c r="AR9" s="327"/>
      <c r="AS9" s="666" t="s">
        <v>1026</v>
      </c>
      <c r="AT9" s="228">
        <v>5000</v>
      </c>
      <c r="AU9" s="228">
        <v>14</v>
      </c>
      <c r="AV9" s="228">
        <v>0.1</v>
      </c>
      <c r="AW9" s="228">
        <v>1</v>
      </c>
      <c r="AX9" s="228">
        <v>5</v>
      </c>
      <c r="AY9" s="328">
        <v>0.02</v>
      </c>
      <c r="AZ9" s="328">
        <v>3.7999999999999999E-2</v>
      </c>
      <c r="BA9" s="328"/>
      <c r="BB9" s="328"/>
      <c r="BD9" s="329" t="s">
        <v>554</v>
      </c>
      <c r="BE9" s="330" t="s">
        <v>96</v>
      </c>
      <c r="BF9" s="330" t="s">
        <v>155</v>
      </c>
      <c r="BG9" s="330" t="s">
        <v>152</v>
      </c>
      <c r="BI9" s="660" t="s">
        <v>2317</v>
      </c>
      <c r="BJ9" s="660" t="s">
        <v>1237</v>
      </c>
      <c r="BK9" s="661">
        <v>1000000</v>
      </c>
      <c r="BN9" s="331" t="s">
        <v>988</v>
      </c>
    </row>
    <row r="10" spans="2:69">
      <c r="B10" s="671" t="str">
        <f>IF(Language="DE",MGK[[#This Row],[DE]],MGK[[#This Row],[EN]])</f>
        <v>Plastics</v>
      </c>
      <c r="C10" s="228" t="s">
        <v>1004</v>
      </c>
      <c r="D10" s="228" t="s">
        <v>1253</v>
      </c>
      <c r="E10" s="228" t="s">
        <v>991</v>
      </c>
      <c r="F10" s="228" t="s">
        <v>992</v>
      </c>
      <c r="G10" s="228" t="s">
        <v>995</v>
      </c>
      <c r="H10" s="228" t="s">
        <v>991</v>
      </c>
      <c r="I10" s="228" t="s">
        <v>993</v>
      </c>
      <c r="J10" s="324" t="s">
        <v>2184</v>
      </c>
      <c r="K10" s="228">
        <v>4</v>
      </c>
      <c r="L10" s="325"/>
      <c r="M10" s="326">
        <v>10000</v>
      </c>
      <c r="N10" s="326">
        <v>10000</v>
      </c>
      <c r="O10" s="326"/>
      <c r="P10" s="326"/>
      <c r="Q10" s="326"/>
      <c r="R10" s="324">
        <v>5</v>
      </c>
      <c r="S10" s="673" t="str">
        <f>IFERROR(INDEX(MGKMHR[Gerät],MATCH(MGK[[#This Row],[Lagerart]],MGKMHR[Bezeichnung],0)),0)</f>
        <v>E-Stapler</v>
      </c>
      <c r="T10" s="674" cm="1">
        <f t="array" ref="T10">IFERROR(IF(MGK[[#This Row],[Bestellaufwand]]="gering",0.25, IF(MGK[[#This Row],[Bestellaufwand]]="mittel",1.5,IF(MGK[[#This Row],[Bestellaufwand]]="hoch",8,0))),0)
+IFERROR(IF(MGK[[#This Row],[Bestellaufwand]]="gering",0.25, IF(MGK[[#This Row],[Bestellaufwand]]="mittel",0.5,IF(MGK[[#This Row],[Bestellaufwand]]="hoch",1,0)))*OrdersPerYear,0)</f>
        <v>3.25</v>
      </c>
      <c r="U10" s="671">
        <f>SUM(MGK[[#This Row],[Maße]:[Elekronik]])</f>
        <v>3.375</v>
      </c>
      <c r="V10" s="675" cm="1">
        <f t="array" ref="V10">IFERROR(INDEX(MGKMHR[Handling],MATCH(MGK[[#This Row],[Lagerart]],MGKMHR[Bezeichnung],0))
*(OrdersPerYear+52/MGK[[#This Row],[Lagerreichweite]])*IF(MGK[[#This Row],[Handling]]="gering",0.25,IF(MGK[[#This Row],[Handling]]="hoch",2,1)),0)</f>
        <v>5</v>
      </c>
      <c r="W10" s="676" cm="1">
        <f t="array" ref="W1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0" s="660" cm="1">
        <f t="array" ref="X1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0" s="660" cm="1">
        <f t="array" ref="Y1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0" s="660" cm="1">
        <f t="array" ref="Z10">OrdersPerYear*IF(MGK[[#This Row],[Prüfaufwand]]="gering",0.25,IF(MGK[[#This Row],[Prüfaufwand]]="mittel",0.5,IF(MGK[[#This Row],[Prüfaufwand]]="hoch",1,0)))
*IF(MGK[[#This Row],[Spezifiaktion]]="Zusammenbau",1,0)*1</f>
        <v>0</v>
      </c>
      <c r="AA10" s="660" cm="1">
        <f t="array" ref="AA10">OrdersPerYear*IF(MGK[[#This Row],[Prüfaufwand]]="hoch",1,0)
*IF(MGK[[#This Row],[Spezifiaktion]]="Zusammenbau",1,0)*0.25</f>
        <v>0</v>
      </c>
      <c r="AB10" s="660" cm="1">
        <f t="array" ref="AB10">OrdersPerYear*IF(MGK[[#This Row],[Prüfaufwand]]="hoch",1,0)
*IF(MGK[[#This Row],[Spezifiaktion]]="Zusammenbau",1,0)*0.25</f>
        <v>0</v>
      </c>
      <c r="AC10" s="660" cm="1">
        <f t="array" ref="AC10">OrdersPerYear*IF(MGK[[#This Row],[Prüfaufwand]]="mittel",0.5,IF(MGK[[#This Row],[Prüfaufwand]]="hoch",1,0))
*IF(MGK[[#This Row],[Spezifiaktion]]="Zusammenbau",1,0)*1.5</f>
        <v>0</v>
      </c>
      <c r="AD10" s="660" cm="1">
        <f t="array" ref="AD10">OrdersPerYear*IF(MGK[[#This Row],[Prüfaufwand]]="hoch",1,0)
*IF(MGK[[#This Row],[Spezifiaktion]]="Zusammenbau",1,0)*0.25</f>
        <v>0</v>
      </c>
      <c r="AE10" s="660" cm="1">
        <f t="array" ref="AE10">OrdersPerYear*IF(MGK[[#This Row],[Bestellaufwand]]="gering",0.15,IF(MGK[[#This Row],[Bestellaufwand]]="mittel",0.5,IF(MGK[[#This Row],[Prüfaufwand]]="hoch",1,0)))
*IF(MGK[[#This Row],[Spezifiaktion]]="Elektronik",1,0)*1</f>
        <v>0</v>
      </c>
      <c r="AF10" s="661" cm="1">
        <f t="array" ref="AF10">IFERROR(SUMPRODUCT(MGK[[#This Row],[Maße]:[Elekronik]],TRANSPOSE($AT$8:$AT$16))*ExchangeRate/SUM(MGK[[#This Row],[Maße]:[Elekronik]]),0)</f>
        <v>68866.666666666672</v>
      </c>
      <c r="AG10" s="671" cm="1">
        <f t="array" ref="AG10">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0" s="671" cm="1">
        <f t="array" ref="AH10">IFERROR(SUMPRODUCT(MGK[[#This Row],[Maße]:[Elekronik]],TRANSPOSE($AV$8:$AV$16),TRANSPOSE($AW$8:$AW$16))/SUM(MGK[[#This Row],[Maße]:[Elekronik]]),0)</f>
        <v>4.5333333333333332</v>
      </c>
      <c r="AI10" s="671" cm="1">
        <f t="array" ref="AI10">IFERROR(SUMPRODUCT(MGK[[#This Row],[Maße]:[Elekronik]],TRANSPOSE($AX$8:$AX$16))/SUM(MGK[[#This Row],[Maße]:[Elekronik]]),0)</f>
        <v>6.666666666666667</v>
      </c>
      <c r="AJ10" s="671">
        <f>IFERROR(INDEX(MGKMHR[Invest],MATCH(MGK[[#This Row],[Lagerart]],MGKMHR[Bezeichnung],0))*ExchangeRate,0)</f>
        <v>500</v>
      </c>
      <c r="AK10" s="671">
        <f>IFERROR(MGK[[#This Row],[L-Invest]]*(1/INDEX(MGKMHR[AfA],MATCH(MGK[[#This Row],[Lagerart]],MGKMHR[Bezeichnung],0))+INDEX(MGKMHR[Verbrauchsmaterial],MATCH(MGK[[#This Row],[Lagerart]],MGKMHR[Bezeichnung],0))+INDEX(MGKMHR[Instandhaltung],MATCH(MGK[[#This Row],[Lagerart]],MGKMHR[Bezeichnung],0)))/(365*24),0)</f>
        <v>7.1156773211567739E-3</v>
      </c>
      <c r="AL10" s="671">
        <f>IFERROR(INDEX(MGKMHR[Strom],MATCH(MGK[[#This Row],[Lagerart]],MGKMHR[Bezeichnung],0))*INDEX(MGKMHR[Faktor],MATCH(MGK[[#This Row],[Lagerart]],MGKMHR[Bezeichnung],0)),0)</f>
        <v>2.1917808219178079E-2</v>
      </c>
      <c r="AM10" s="671">
        <f>IFERROR(INDEX(MGKMHR[Fläche],MATCH(MGK[[#This Row],[Lagerart]],MGKMHR[Bezeichnung],0)),0)</f>
        <v>2</v>
      </c>
      <c r="AN10" s="661">
        <f>IFERROR(INDEX(MGKMHR[Invest],MATCH(MGK[[#This Row],[Lagerbediengerät]],MGKMHR[Bezeichnung],0))*ExchangeRate,0)</f>
        <v>20000</v>
      </c>
      <c r="AO10" s="671">
        <f>IFERROR(MGK[[#This Row],[B-Invest]]*(1/INDEX(MGKMHR[AfA],MATCH(MGK[[#This Row],[Lagerbediengerät]],MGKMHR[Bezeichnung],0))+INDEX(MGKMHR[Verbrauchsmaterial],MATCH(MGK[[#This Row],[Lagerbediengerät]],MGKMHR[Bezeichnung],0))+INDEX(MGKMHR[Instandhaltung],MATCH(MGK[[#This Row],[Lagerbediengerät]],MGKMHR[Bezeichnung],0)))/(250*16*0.8),0)</f>
        <v>6.25</v>
      </c>
      <c r="AP10" s="671">
        <f>IFERROR(INDEX(MGKMHR[Strom],MATCH(MGK[[#This Row],[Lagerbediengerät]],MGKMHR[Bezeichnung],0))*INDEX(MGKMHR[Faktor],MATCH(MGK[[#This Row],[Lagerbediengerät]],MGKMHR[Bezeichnung],0)),0)</f>
        <v>9.6999999999999993</v>
      </c>
      <c r="AQ10" s="671">
        <f>IFERROR(INDEX(MGKMHR[Fläche],MATCH(MGK[[#This Row],[Lagerbediengerät]],MGKMHR[Bezeichnung],0)),0)</f>
        <v>0</v>
      </c>
      <c r="AR10" s="327"/>
      <c r="AS10" s="666" t="s">
        <v>1027</v>
      </c>
      <c r="AT10" s="228">
        <v>1600</v>
      </c>
      <c r="AU10" s="228">
        <v>14</v>
      </c>
      <c r="AV10" s="228">
        <v>0.5</v>
      </c>
      <c r="AW10" s="228">
        <v>1</v>
      </c>
      <c r="AX10" s="228">
        <v>5</v>
      </c>
      <c r="AY10" s="328">
        <v>0.02</v>
      </c>
      <c r="AZ10" s="328">
        <v>3.7999999999999999E-2</v>
      </c>
      <c r="BA10" s="328"/>
      <c r="BB10" s="328"/>
      <c r="BD10" s="664" t="s">
        <v>18</v>
      </c>
      <c r="BE10" s="202">
        <f>AVERAGE(BF10:BG10)</f>
        <v>2.5</v>
      </c>
      <c r="BF10" s="239">
        <v>3</v>
      </c>
      <c r="BG10" s="239">
        <v>2</v>
      </c>
      <c r="BI10" s="660" t="s">
        <v>2318</v>
      </c>
      <c r="BJ10" s="660" t="s">
        <v>1237</v>
      </c>
      <c r="BK10" s="661">
        <v>1000</v>
      </c>
      <c r="BN10" s="332" t="s">
        <v>991</v>
      </c>
      <c r="BP10" s="333"/>
    </row>
    <row r="11" spans="2:69">
      <c r="B11" s="671" t="str">
        <f>IF(Language="DE",MGK[[#This Row],[DE]],MGK[[#This Row],[EN]])</f>
        <v>Plastics high spec</v>
      </c>
      <c r="C11" s="228" t="s">
        <v>1005</v>
      </c>
      <c r="D11" s="228" t="s">
        <v>1254</v>
      </c>
      <c r="E11" s="228" t="s">
        <v>994</v>
      </c>
      <c r="F11" s="228" t="s">
        <v>992</v>
      </c>
      <c r="G11" s="228" t="s">
        <v>995</v>
      </c>
      <c r="H11" s="228" t="s">
        <v>995</v>
      </c>
      <c r="I11" s="228" t="s">
        <v>993</v>
      </c>
      <c r="J11" s="324" t="s">
        <v>2184</v>
      </c>
      <c r="K11" s="228">
        <v>4</v>
      </c>
      <c r="L11" s="325"/>
      <c r="M11" s="326">
        <v>1000</v>
      </c>
      <c r="N11" s="326">
        <v>1000</v>
      </c>
      <c r="O11" s="326"/>
      <c r="P11" s="326"/>
      <c r="Q11" s="326"/>
      <c r="R11" s="324">
        <v>1</v>
      </c>
      <c r="S11" s="673" t="str">
        <f>IFERROR(INDEX(MGKMHR[Gerät],MATCH(MGK[[#This Row],[Lagerart]],MGKMHR[Bezeichnung],0)),0)</f>
        <v>E-Stapler</v>
      </c>
      <c r="T11" s="674" cm="1">
        <f t="array" ref="T11">IFERROR(IF(MGK[[#This Row],[Bestellaufwand]]="gering",0.25, IF(MGK[[#This Row],[Bestellaufwand]]="mittel",1.5,IF(MGK[[#This Row],[Bestellaufwand]]="hoch",8,0))),0)
+IFERROR(IF(MGK[[#This Row],[Bestellaufwand]]="gering",0.25, IF(MGK[[#This Row],[Bestellaufwand]]="mittel",0.5,IF(MGK[[#This Row],[Bestellaufwand]]="hoch",1,0)))*OrdersPerYear,0)</f>
        <v>20</v>
      </c>
      <c r="U11" s="671">
        <f>SUM(MGK[[#This Row],[Maße]:[Elekronik]])</f>
        <v>6.75</v>
      </c>
      <c r="V11" s="675" cm="1">
        <f t="array" ref="V11">IFERROR(INDEX(MGKMHR[Handling],MATCH(MGK[[#This Row],[Lagerart]],MGKMHR[Bezeichnung],0))
*(OrdersPerYear+52/MGK[[#This Row],[Lagerreichweite]])*IF(MGK[[#This Row],[Handling]]="gering",0.25,IF(MGK[[#This Row],[Handling]]="hoch",2,1)),0)</f>
        <v>5</v>
      </c>
      <c r="W11" s="676" cm="1">
        <f t="array" ref="W1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11" s="660" cm="1">
        <f t="array" ref="X1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11" s="660" cm="1">
        <f t="array" ref="Y1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11" s="660" cm="1">
        <f t="array" ref="Z11">OrdersPerYear*IF(MGK[[#This Row],[Prüfaufwand]]="gering",0.25,IF(MGK[[#This Row],[Prüfaufwand]]="mittel",0.5,IF(MGK[[#This Row],[Prüfaufwand]]="hoch",1,0)))
*IF(MGK[[#This Row],[Spezifiaktion]]="Zusammenbau",1,0)*1</f>
        <v>0</v>
      </c>
      <c r="AA11" s="660" cm="1">
        <f t="array" ref="AA11">OrdersPerYear*IF(MGK[[#This Row],[Prüfaufwand]]="hoch",1,0)
*IF(MGK[[#This Row],[Spezifiaktion]]="Zusammenbau",1,0)*0.25</f>
        <v>0</v>
      </c>
      <c r="AB11" s="660" cm="1">
        <f t="array" ref="AB11">OrdersPerYear*IF(MGK[[#This Row],[Prüfaufwand]]="hoch",1,0)
*IF(MGK[[#This Row],[Spezifiaktion]]="Zusammenbau",1,0)*0.25</f>
        <v>0</v>
      </c>
      <c r="AC11" s="660" cm="1">
        <f t="array" ref="AC11">OrdersPerYear*IF(MGK[[#This Row],[Prüfaufwand]]="mittel",0.5,IF(MGK[[#This Row],[Prüfaufwand]]="hoch",1,0))
*IF(MGK[[#This Row],[Spezifiaktion]]="Zusammenbau",1,0)*1.5</f>
        <v>0</v>
      </c>
      <c r="AD11" s="660" cm="1">
        <f t="array" ref="AD11">OrdersPerYear*IF(MGK[[#This Row],[Prüfaufwand]]="hoch",1,0)
*IF(MGK[[#This Row],[Spezifiaktion]]="Zusammenbau",1,0)*0.25</f>
        <v>0</v>
      </c>
      <c r="AE11" s="660" cm="1">
        <f t="array" ref="AE11">OrdersPerYear*IF(MGK[[#This Row],[Bestellaufwand]]="gering",0.15,IF(MGK[[#This Row],[Bestellaufwand]]="mittel",0.5,IF(MGK[[#This Row],[Prüfaufwand]]="hoch",1,0)))
*IF(MGK[[#This Row],[Spezifiaktion]]="Elektronik",1,0)*1</f>
        <v>0</v>
      </c>
      <c r="AF11" s="661" cm="1">
        <f t="array" ref="AF11">IFERROR(SUMPRODUCT(MGK[[#This Row],[Maße]:[Elekronik]],TRANSPOSE($AT$8:$AT$16))*ExchangeRate/SUM(MGK[[#This Row],[Maße]:[Elekronik]]),0)</f>
        <v>68866.666666666672</v>
      </c>
      <c r="AG11" s="671" cm="1">
        <f t="array" ref="AG1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1" s="671" cm="1">
        <f t="array" ref="AH11">IFERROR(SUMPRODUCT(MGK[[#This Row],[Maße]:[Elekronik]],TRANSPOSE($AV$8:$AV$16),TRANSPOSE($AW$8:$AW$16))/SUM(MGK[[#This Row],[Maße]:[Elekronik]]),0)</f>
        <v>4.5333333333333332</v>
      </c>
      <c r="AI11" s="671" cm="1">
        <f t="array" ref="AI11">IFERROR(SUMPRODUCT(MGK[[#This Row],[Maße]:[Elekronik]],TRANSPOSE($AX$8:$AX$16))/SUM(MGK[[#This Row],[Maße]:[Elekronik]]),0)</f>
        <v>6.666666666666667</v>
      </c>
      <c r="AJ11" s="671">
        <f>IFERROR(INDEX(MGKMHR[Invest],MATCH(MGK[[#This Row],[Lagerart]],MGKMHR[Bezeichnung],0))*ExchangeRate,0)</f>
        <v>500</v>
      </c>
      <c r="AK11" s="671">
        <f>IFERROR(MGK[[#This Row],[L-Invest]]*(1/INDEX(MGKMHR[AfA],MATCH(MGK[[#This Row],[Lagerart]],MGKMHR[Bezeichnung],0))+INDEX(MGKMHR[Verbrauchsmaterial],MATCH(MGK[[#This Row],[Lagerart]],MGKMHR[Bezeichnung],0))+INDEX(MGKMHR[Instandhaltung],MATCH(MGK[[#This Row],[Lagerart]],MGKMHR[Bezeichnung],0)))/(365*24),0)</f>
        <v>7.1156773211567739E-3</v>
      </c>
      <c r="AL11" s="671">
        <f>IFERROR(INDEX(MGKMHR[Strom],MATCH(MGK[[#This Row],[Lagerart]],MGKMHR[Bezeichnung],0))*INDEX(MGKMHR[Faktor],MATCH(MGK[[#This Row],[Lagerart]],MGKMHR[Bezeichnung],0)),0)</f>
        <v>2.1917808219178079E-2</v>
      </c>
      <c r="AM11" s="671">
        <f>IFERROR(INDEX(MGKMHR[Fläche],MATCH(MGK[[#This Row],[Lagerart]],MGKMHR[Bezeichnung],0)),0)</f>
        <v>2</v>
      </c>
      <c r="AN11" s="661">
        <f>IFERROR(INDEX(MGKMHR[Invest],MATCH(MGK[[#This Row],[Lagerbediengerät]],MGKMHR[Bezeichnung],0))*ExchangeRate,0)</f>
        <v>20000</v>
      </c>
      <c r="AO11" s="671">
        <f>IFERROR(MGK[[#This Row],[B-Invest]]*(1/INDEX(MGKMHR[AfA],MATCH(MGK[[#This Row],[Lagerbediengerät]],MGKMHR[Bezeichnung],0))+INDEX(MGKMHR[Verbrauchsmaterial],MATCH(MGK[[#This Row],[Lagerbediengerät]],MGKMHR[Bezeichnung],0))+INDEX(MGKMHR[Instandhaltung],MATCH(MGK[[#This Row],[Lagerbediengerät]],MGKMHR[Bezeichnung],0)))/(250*16*0.8),0)</f>
        <v>6.25</v>
      </c>
      <c r="AP11" s="671">
        <f>IFERROR(INDEX(MGKMHR[Strom],MATCH(MGK[[#This Row],[Lagerbediengerät]],MGKMHR[Bezeichnung],0))*INDEX(MGKMHR[Faktor],MATCH(MGK[[#This Row],[Lagerbediengerät]],MGKMHR[Bezeichnung],0)),0)</f>
        <v>9.6999999999999993</v>
      </c>
      <c r="AQ11" s="671">
        <f>IFERROR(INDEX(MGKMHR[Fläche],MATCH(MGK[[#This Row],[Lagerbediengerät]],MGKMHR[Bezeichnung],0)),0)</f>
        <v>0</v>
      </c>
      <c r="AR11" s="327"/>
      <c r="AS11" s="666" t="s">
        <v>1028</v>
      </c>
      <c r="AT11" s="228">
        <v>50000</v>
      </c>
      <c r="AU11" s="228">
        <v>14</v>
      </c>
      <c r="AV11" s="228">
        <v>2</v>
      </c>
      <c r="AW11" s="228">
        <v>1</v>
      </c>
      <c r="AX11" s="228">
        <v>5</v>
      </c>
      <c r="AY11" s="328">
        <v>0.02</v>
      </c>
      <c r="AZ11" s="328">
        <v>3.7999999999999999E-2</v>
      </c>
      <c r="BA11" s="328"/>
      <c r="BB11" s="328"/>
      <c r="BD11" s="334"/>
      <c r="BE11" s="335"/>
      <c r="BF11" s="336"/>
      <c r="BG11" s="336"/>
      <c r="BI11" s="660" t="s">
        <v>1237</v>
      </c>
      <c r="BJ11" s="660" t="s">
        <v>1237</v>
      </c>
      <c r="BK11" s="661">
        <v>1</v>
      </c>
      <c r="BN11" s="332" t="s">
        <v>995</v>
      </c>
      <c r="BP11" s="333"/>
      <c r="BQ11" s="333"/>
    </row>
    <row r="12" spans="2:69">
      <c r="B12" s="671" t="str">
        <f>IF(Language="DE",MGK[[#This Row],[DE]],MGK[[#This Row],[EN]])</f>
        <v>Metal rod</v>
      </c>
      <c r="C12" s="228" t="s">
        <v>1096</v>
      </c>
      <c r="D12" s="228" t="s">
        <v>1255</v>
      </c>
      <c r="E12" s="228" t="s">
        <v>991</v>
      </c>
      <c r="F12" s="228" t="s">
        <v>996</v>
      </c>
      <c r="G12" s="228" t="s">
        <v>995</v>
      </c>
      <c r="H12" s="228" t="s">
        <v>991</v>
      </c>
      <c r="I12" s="228" t="s">
        <v>997</v>
      </c>
      <c r="J12" s="324" t="s">
        <v>2184</v>
      </c>
      <c r="K12" s="228">
        <v>4</v>
      </c>
      <c r="L12" s="325">
        <v>1000</v>
      </c>
      <c r="M12" s="326">
        <v>1000</v>
      </c>
      <c r="N12" s="326"/>
      <c r="O12" s="326">
        <v>1000</v>
      </c>
      <c r="P12" s="326"/>
      <c r="Q12" s="326"/>
      <c r="R12" s="324">
        <v>2</v>
      </c>
      <c r="S12" s="673" t="str">
        <f>IFERROR(INDEX(MGKMHR[Gerät],MATCH(MGK[[#This Row],[Lagerart]],MGKMHR[Bezeichnung],0)),0)</f>
        <v>E-Stapler</v>
      </c>
      <c r="T12" s="674" cm="1">
        <f t="array" ref="T12">IFERROR(IF(MGK[[#This Row],[Bestellaufwand]]="gering",0.25, IF(MGK[[#This Row],[Bestellaufwand]]="mittel",1.5,IF(MGK[[#This Row],[Bestellaufwand]]="hoch",8,0))),0)
+IFERROR(IF(MGK[[#This Row],[Bestellaufwand]]="gering",0.25, IF(MGK[[#This Row],[Bestellaufwand]]="mittel",0.5,IF(MGK[[#This Row],[Bestellaufwand]]="hoch",1,0)))*OrdersPerYear,0)</f>
        <v>3.25</v>
      </c>
      <c r="U12" s="671">
        <f>SUM(MGK[[#This Row],[Maße]:[Elekronik]])</f>
        <v>6.75</v>
      </c>
      <c r="V12" s="675" cm="1">
        <f t="array" ref="V12">IFERROR(INDEX(MGKMHR[Handling],MATCH(MGK[[#This Row],[Lagerart]],MGKMHR[Bezeichnung],0))
*(OrdersPerYear+52/MGK[[#This Row],[Lagerreichweite]])*IF(MGK[[#This Row],[Handling]]="gering",0.25,IF(MGK[[#This Row],[Handling]]="hoch",2,1)),0)</f>
        <v>5</v>
      </c>
      <c r="W12" s="676" cm="1">
        <f t="array" ref="W1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12" s="660" cm="1">
        <f t="array" ref="X1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12" s="660" cm="1">
        <f t="array" ref="Y1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12" s="660" cm="1">
        <f t="array" ref="Z12">OrdersPerYear*IF(MGK[[#This Row],[Prüfaufwand]]="gering",0.25,IF(MGK[[#This Row],[Prüfaufwand]]="mittel",0.5,IF(MGK[[#This Row],[Prüfaufwand]]="hoch",1,0)))
*IF(MGK[[#This Row],[Spezifiaktion]]="Zusammenbau",1,0)*1</f>
        <v>0</v>
      </c>
      <c r="AA12" s="660" cm="1">
        <f t="array" ref="AA12">OrdersPerYear*IF(MGK[[#This Row],[Prüfaufwand]]="hoch",1,0)
*IF(MGK[[#This Row],[Spezifiaktion]]="Zusammenbau",1,0)*0.25</f>
        <v>0</v>
      </c>
      <c r="AB12" s="660" cm="1">
        <f t="array" ref="AB12">OrdersPerYear*IF(MGK[[#This Row],[Prüfaufwand]]="hoch",1,0)
*IF(MGK[[#This Row],[Spezifiaktion]]="Zusammenbau",1,0)*0.25</f>
        <v>0</v>
      </c>
      <c r="AC12" s="660" cm="1">
        <f t="array" ref="AC12">OrdersPerYear*IF(MGK[[#This Row],[Prüfaufwand]]="mittel",0.5,IF(MGK[[#This Row],[Prüfaufwand]]="hoch",1,0))
*IF(MGK[[#This Row],[Spezifiaktion]]="Zusammenbau",1,0)*1.5</f>
        <v>0</v>
      </c>
      <c r="AD12" s="660" cm="1">
        <f t="array" ref="AD12">OrdersPerYear*IF(MGK[[#This Row],[Prüfaufwand]]="hoch",1,0)
*IF(MGK[[#This Row],[Spezifiaktion]]="Zusammenbau",1,0)*0.25</f>
        <v>0</v>
      </c>
      <c r="AE12" s="660" cm="1">
        <f t="array" ref="AE12">OrdersPerYear*IF(MGK[[#This Row],[Bestellaufwand]]="gering",0.15,IF(MGK[[#This Row],[Bestellaufwand]]="mittel",0.5,IF(MGK[[#This Row],[Prüfaufwand]]="hoch",1,0)))
*IF(MGK[[#This Row],[Spezifiaktion]]="Elektronik",1,0)*1</f>
        <v>0</v>
      </c>
      <c r="AF12" s="661" cm="1">
        <f t="array" ref="AF12">IFERROR(SUMPRODUCT(MGK[[#This Row],[Maße]:[Elekronik]],TRANSPOSE($AT$8:$AT$16))*ExchangeRate/SUM(MGK[[#This Row],[Maße]:[Elekronik]]),0)</f>
        <v>68866.666666666672</v>
      </c>
      <c r="AG12" s="671" cm="1">
        <f t="array" ref="AG12">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2" s="671" cm="1">
        <f t="array" ref="AH12">IFERROR(SUMPRODUCT(MGK[[#This Row],[Maße]:[Elekronik]],TRANSPOSE($AV$8:$AV$16),TRANSPOSE($AW$8:$AW$16))/SUM(MGK[[#This Row],[Maße]:[Elekronik]]),0)</f>
        <v>4.5333333333333332</v>
      </c>
      <c r="AI12" s="671" cm="1">
        <f t="array" ref="AI12">IFERROR(SUMPRODUCT(MGK[[#This Row],[Maße]:[Elekronik]],TRANSPOSE($AX$8:$AX$16))/SUM(MGK[[#This Row],[Maße]:[Elekronik]]),0)</f>
        <v>6.666666666666667</v>
      </c>
      <c r="AJ12" s="671">
        <f>IFERROR(INDEX(MGKMHR[Invest],MATCH(MGK[[#This Row],[Lagerart]],MGKMHR[Bezeichnung],0))*ExchangeRate,0)</f>
        <v>29.28</v>
      </c>
      <c r="AK12" s="671">
        <f>IFERROR(MGK[[#This Row],[L-Invest]]*(1/INDEX(MGKMHR[AfA],MATCH(MGK[[#This Row],[Lagerart]],MGKMHR[Bezeichnung],0))+INDEX(MGKMHR[Verbrauchsmaterial],MATCH(MGK[[#This Row],[Lagerart]],MGKMHR[Bezeichnung],0))+INDEX(MGKMHR[Instandhaltung],MATCH(MGK[[#This Row],[Lagerart]],MGKMHR[Bezeichnung],0)))/(365*24),0)</f>
        <v>4.1669406392694073E-4</v>
      </c>
      <c r="AL12" s="671">
        <f>IFERROR(INDEX(MGKMHR[Strom],MATCH(MGK[[#This Row],[Lagerart]],MGKMHR[Bezeichnung],0))*INDEX(MGKMHR[Faktor],MATCH(MGK[[#This Row],[Lagerart]],MGKMHR[Bezeichnung],0)),0)</f>
        <v>6.8493150684931503E-3</v>
      </c>
      <c r="AM12" s="671">
        <f>IFERROR(INDEX(MGKMHR[Fläche],MATCH(MGK[[#This Row],[Lagerart]],MGKMHR[Bezeichnung],0)),0)</f>
        <v>0.625</v>
      </c>
      <c r="AN12" s="661">
        <f>IFERROR(INDEX(MGKMHR[Invest],MATCH(MGK[[#This Row],[Lagerbediengerät]],MGKMHR[Bezeichnung],0))*ExchangeRate,0)</f>
        <v>20000</v>
      </c>
      <c r="AO12" s="671">
        <f>IFERROR(MGK[[#This Row],[B-Invest]]*(1/INDEX(MGKMHR[AfA],MATCH(MGK[[#This Row],[Lagerbediengerät]],MGKMHR[Bezeichnung],0))+INDEX(MGKMHR[Verbrauchsmaterial],MATCH(MGK[[#This Row],[Lagerbediengerät]],MGKMHR[Bezeichnung],0))+INDEX(MGKMHR[Instandhaltung],MATCH(MGK[[#This Row],[Lagerbediengerät]],MGKMHR[Bezeichnung],0)))/(250*16*0.8),0)</f>
        <v>6.25</v>
      </c>
      <c r="AP12" s="671">
        <f>IFERROR(INDEX(MGKMHR[Strom],MATCH(MGK[[#This Row],[Lagerbediengerät]],MGKMHR[Bezeichnung],0))*INDEX(MGKMHR[Faktor],MATCH(MGK[[#This Row],[Lagerbediengerät]],MGKMHR[Bezeichnung],0)),0)</f>
        <v>9.6999999999999993</v>
      </c>
      <c r="AQ12" s="671">
        <f>IFERROR(INDEX(MGKMHR[Fläche],MATCH(MGK[[#This Row],[Lagerbediengerät]],MGKMHR[Bezeichnung],0)),0)</f>
        <v>0</v>
      </c>
      <c r="AR12" s="327"/>
      <c r="AS12" s="666" t="s">
        <v>1029</v>
      </c>
      <c r="AT12" s="228">
        <v>330000</v>
      </c>
      <c r="AU12" s="228">
        <v>14</v>
      </c>
      <c r="AV12" s="228">
        <v>1.65</v>
      </c>
      <c r="AW12" s="228">
        <v>1</v>
      </c>
      <c r="AX12" s="228">
        <v>10</v>
      </c>
      <c r="AY12" s="328">
        <v>0.02</v>
      </c>
      <c r="AZ12" s="328">
        <v>3.7999999999999999E-2</v>
      </c>
      <c r="BA12" s="328"/>
      <c r="BB12" s="328"/>
      <c r="BD12" s="329" t="s">
        <v>555</v>
      </c>
      <c r="BE12" s="330" t="s">
        <v>96</v>
      </c>
      <c r="BF12" s="330" t="s">
        <v>155</v>
      </c>
      <c r="BG12" s="330" t="s">
        <v>152</v>
      </c>
      <c r="BI12" s="660" t="s">
        <v>2319</v>
      </c>
      <c r="BJ12" s="660" t="s">
        <v>1265</v>
      </c>
      <c r="BK12" s="661">
        <v>1000</v>
      </c>
      <c r="BN12" s="332" t="s">
        <v>994</v>
      </c>
      <c r="BP12" s="333"/>
      <c r="BQ12" s="333"/>
    </row>
    <row r="13" spans="2:69">
      <c r="B13" s="671" t="str">
        <f>IF(Language="DE",MGK[[#This Row],[DE]],MGK[[#This Row],[EN]])</f>
        <v>Metal coil</v>
      </c>
      <c r="C13" s="228" t="s">
        <v>2181</v>
      </c>
      <c r="D13" s="228" t="s">
        <v>1256</v>
      </c>
      <c r="E13" s="228" t="s">
        <v>991</v>
      </c>
      <c r="F13" s="228" t="s">
        <v>998</v>
      </c>
      <c r="G13" s="228" t="s">
        <v>995</v>
      </c>
      <c r="H13" s="228" t="s">
        <v>991</v>
      </c>
      <c r="I13" s="228" t="s">
        <v>999</v>
      </c>
      <c r="J13" s="324" t="s">
        <v>2184</v>
      </c>
      <c r="K13" s="228">
        <v>4</v>
      </c>
      <c r="L13" s="325"/>
      <c r="M13" s="326">
        <v>25000</v>
      </c>
      <c r="N13" s="326"/>
      <c r="O13" s="326"/>
      <c r="P13" s="326">
        <v>1000</v>
      </c>
      <c r="Q13" s="326"/>
      <c r="R13" s="324">
        <v>2</v>
      </c>
      <c r="S13" s="673" t="str">
        <f>IFERROR(INDEX(MGKMHR[Gerät],MATCH(MGK[[#This Row],[Lagerart]],MGKMHR[Bezeichnung],0)),0)</f>
        <v>Deckenkran</v>
      </c>
      <c r="T13" s="674" cm="1">
        <f t="array" ref="T13">IFERROR(IF(MGK[[#This Row],[Bestellaufwand]]="gering",0.25, IF(MGK[[#This Row],[Bestellaufwand]]="mittel",1.5,IF(MGK[[#This Row],[Bestellaufwand]]="hoch",8,0))),0)
+IFERROR(IF(MGK[[#This Row],[Bestellaufwand]]="gering",0.25, IF(MGK[[#This Row],[Bestellaufwand]]="mittel",0.5,IF(MGK[[#This Row],[Bestellaufwand]]="hoch",1,0)))*OrdersPerYear,0)</f>
        <v>3.25</v>
      </c>
      <c r="U13" s="671">
        <f>SUM(MGK[[#This Row],[Maße]:[Elekronik]])</f>
        <v>3.375</v>
      </c>
      <c r="V13" s="675" cm="1">
        <f t="array" ref="V13">IFERROR(INDEX(MGKMHR[Handling],MATCH(MGK[[#This Row],[Lagerart]],MGKMHR[Bezeichnung],0))
*(OrdersPerYear+52/MGK[[#This Row],[Lagerreichweite]])*IF(MGK[[#This Row],[Handling]]="gering",0.25,IF(MGK[[#This Row],[Handling]]="hoch",2,1)),0)</f>
        <v>5</v>
      </c>
      <c r="W13" s="676" cm="1">
        <f t="array" ref="W1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3" s="660" cm="1">
        <f t="array" ref="X1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3" s="660" cm="1">
        <f t="array" ref="Y1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3" s="660" cm="1">
        <f t="array" ref="Z13">OrdersPerYear*IF(MGK[[#This Row],[Prüfaufwand]]="gering",0.25,IF(MGK[[#This Row],[Prüfaufwand]]="mittel",0.5,IF(MGK[[#This Row],[Prüfaufwand]]="hoch",1,0)))
*IF(MGK[[#This Row],[Spezifiaktion]]="Zusammenbau",1,0)*1</f>
        <v>0</v>
      </c>
      <c r="AA13" s="660" cm="1">
        <f t="array" ref="AA13">OrdersPerYear*IF(MGK[[#This Row],[Prüfaufwand]]="hoch",1,0)
*IF(MGK[[#This Row],[Spezifiaktion]]="Zusammenbau",1,0)*0.25</f>
        <v>0</v>
      </c>
      <c r="AB13" s="660" cm="1">
        <f t="array" ref="AB13">OrdersPerYear*IF(MGK[[#This Row],[Prüfaufwand]]="hoch",1,0)
*IF(MGK[[#This Row],[Spezifiaktion]]="Zusammenbau",1,0)*0.25</f>
        <v>0</v>
      </c>
      <c r="AC13" s="660" cm="1">
        <f t="array" ref="AC13">OrdersPerYear*IF(MGK[[#This Row],[Prüfaufwand]]="mittel",0.5,IF(MGK[[#This Row],[Prüfaufwand]]="hoch",1,0))
*IF(MGK[[#This Row],[Spezifiaktion]]="Zusammenbau",1,0)*1.5</f>
        <v>0</v>
      </c>
      <c r="AD13" s="660" cm="1">
        <f t="array" ref="AD13">OrdersPerYear*IF(MGK[[#This Row],[Prüfaufwand]]="hoch",1,0)
*IF(MGK[[#This Row],[Spezifiaktion]]="Zusammenbau",1,0)*0.25</f>
        <v>0</v>
      </c>
      <c r="AE13" s="660" cm="1">
        <f t="array" ref="AE13">OrdersPerYear*IF(MGK[[#This Row],[Bestellaufwand]]="gering",0.15,IF(MGK[[#This Row],[Bestellaufwand]]="mittel",0.5,IF(MGK[[#This Row],[Prüfaufwand]]="hoch",1,0)))
*IF(MGK[[#This Row],[Spezifiaktion]]="Elektronik",1,0)*1</f>
        <v>0</v>
      </c>
      <c r="AF13" s="661" cm="1">
        <f t="array" ref="AF13">IFERROR(SUMPRODUCT(MGK[[#This Row],[Maße]:[Elekronik]],TRANSPOSE($AT$8:$AT$16))*ExchangeRate/SUM(MGK[[#This Row],[Maße]:[Elekronik]]),0)</f>
        <v>68866.666666666672</v>
      </c>
      <c r="AG13" s="671" cm="1">
        <f t="array" ref="AG13">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3" s="671" cm="1">
        <f t="array" ref="AH13">IFERROR(SUMPRODUCT(MGK[[#This Row],[Maße]:[Elekronik]],TRANSPOSE($AV$8:$AV$16),TRANSPOSE($AW$8:$AW$16))/SUM(MGK[[#This Row],[Maße]:[Elekronik]]),0)</f>
        <v>4.5333333333333332</v>
      </c>
      <c r="AI13" s="671" cm="1">
        <f t="array" ref="AI13">IFERROR(SUMPRODUCT(MGK[[#This Row],[Maße]:[Elekronik]],TRANSPOSE($AX$8:$AX$16))/SUM(MGK[[#This Row],[Maße]:[Elekronik]]),0)</f>
        <v>6.666666666666667</v>
      </c>
      <c r="AJ13" s="671">
        <f>IFERROR(INDEX(MGKMHR[Invest],MATCH(MGK[[#This Row],[Lagerart]],MGKMHR[Bezeichnung],0))*ExchangeRate,0)</f>
        <v>647</v>
      </c>
      <c r="AK13" s="671">
        <f>IFERROR(MGK[[#This Row],[L-Invest]]*(1/INDEX(MGKMHR[AfA],MATCH(MGK[[#This Row],[Lagerart]],MGKMHR[Bezeichnung],0))+INDEX(MGKMHR[Verbrauchsmaterial],MATCH(MGK[[#This Row],[Lagerart]],MGKMHR[Bezeichnung],0))+INDEX(MGKMHR[Instandhaltung],MATCH(MGK[[#This Row],[Lagerart]],MGKMHR[Bezeichnung],0)))/(365*24),0)</f>
        <v>9.207686453576865E-3</v>
      </c>
      <c r="AL13" s="671">
        <f>IFERROR(INDEX(MGKMHR[Strom],MATCH(MGK[[#This Row],[Lagerart]],MGKMHR[Bezeichnung],0))*INDEX(MGKMHR[Faktor],MATCH(MGK[[#This Row],[Lagerart]],MGKMHR[Bezeichnung],0)),0)</f>
        <v>1.3698630136986301E-2</v>
      </c>
      <c r="AM13" s="671">
        <f>IFERROR(INDEX(MGKMHR[Fläche],MATCH(MGK[[#This Row],[Lagerart]],MGKMHR[Bezeichnung],0)),0)</f>
        <v>1.25</v>
      </c>
      <c r="AN13" s="661">
        <f>IFERROR(INDEX(MGKMHR[Invest],MATCH(MGK[[#This Row],[Lagerbediengerät]],MGKMHR[Bezeichnung],0))*ExchangeRate,0)</f>
        <v>11000</v>
      </c>
      <c r="AO13" s="671">
        <f>IFERROR(MGK[[#This Row],[B-Invest]]*(1/INDEX(MGKMHR[AfA],MATCH(MGK[[#This Row],[Lagerbediengerät]],MGKMHR[Bezeichnung],0))+INDEX(MGKMHR[Verbrauchsmaterial],MATCH(MGK[[#This Row],[Lagerbediengerät]],MGKMHR[Bezeichnung],0))+INDEX(MGKMHR[Instandhaltung],MATCH(MGK[[#This Row],[Lagerbediengerät]],MGKMHR[Bezeichnung],0)))/(250*16*0.8),0)</f>
        <v>3.4375</v>
      </c>
      <c r="AP13" s="671">
        <f>IFERROR(INDEX(MGKMHR[Strom],MATCH(MGK[[#This Row],[Lagerbediengerät]],MGKMHR[Bezeichnung],0))*INDEX(MGKMHR[Faktor],MATCH(MGK[[#This Row],[Lagerbediengerät]],MGKMHR[Bezeichnung],0)),0)</f>
        <v>5</v>
      </c>
      <c r="AQ13" s="671">
        <f>IFERROR(INDEX(MGKMHR[Fläche],MATCH(MGK[[#This Row],[Lagerbediengerät]],MGKMHR[Bezeichnung],0)),0)</f>
        <v>0</v>
      </c>
      <c r="AR13" s="327"/>
      <c r="AS13" s="666" t="s">
        <v>1030</v>
      </c>
      <c r="AT13" s="228">
        <v>6200</v>
      </c>
      <c r="AU13" s="228">
        <v>14</v>
      </c>
      <c r="AV13" s="228">
        <v>4</v>
      </c>
      <c r="AW13" s="228">
        <v>1</v>
      </c>
      <c r="AX13" s="228">
        <v>10</v>
      </c>
      <c r="AY13" s="328">
        <v>0.02</v>
      </c>
      <c r="AZ13" s="328">
        <v>3.7999999999999999E-2</v>
      </c>
      <c r="BA13" s="328"/>
      <c r="BB13" s="328"/>
      <c r="BD13" s="665">
        <v>0</v>
      </c>
      <c r="BE13" s="202">
        <f>AVERAGE(BF13:BG13)</f>
        <v>5</v>
      </c>
      <c r="BF13" s="239">
        <v>8</v>
      </c>
      <c r="BG13" s="239">
        <v>2</v>
      </c>
      <c r="BI13" s="660" t="s">
        <v>2320</v>
      </c>
      <c r="BJ13" s="660" t="s">
        <v>1265</v>
      </c>
      <c r="BK13" s="661">
        <v>100</v>
      </c>
      <c r="BP13" s="333"/>
      <c r="BQ13" s="333"/>
    </row>
    <row r="14" spans="2:69">
      <c r="B14" s="671" t="str">
        <f>IF(Language="DE",MGK[[#This Row],[DE]],MGK[[#This Row],[EN]])</f>
        <v>Metal sheet</v>
      </c>
      <c r="C14" s="228" t="s">
        <v>1097</v>
      </c>
      <c r="D14" s="228" t="s">
        <v>1257</v>
      </c>
      <c r="E14" s="228" t="s">
        <v>991</v>
      </c>
      <c r="F14" s="228" t="s">
        <v>1000</v>
      </c>
      <c r="G14" s="228" t="s">
        <v>995</v>
      </c>
      <c r="H14" s="228" t="s">
        <v>991</v>
      </c>
      <c r="I14" s="228" t="s">
        <v>1095</v>
      </c>
      <c r="J14" s="324" t="s">
        <v>2184</v>
      </c>
      <c r="K14" s="228">
        <v>4</v>
      </c>
      <c r="L14" s="325">
        <v>1000</v>
      </c>
      <c r="M14" s="326">
        <v>10000</v>
      </c>
      <c r="N14" s="326"/>
      <c r="O14" s="326"/>
      <c r="P14" s="326">
        <v>1000</v>
      </c>
      <c r="Q14" s="326"/>
      <c r="R14" s="324">
        <v>2</v>
      </c>
      <c r="S14" s="673" t="str">
        <f>IFERROR(INDEX(MGKMHR[Gerät],MATCH(MGK[[#This Row],[Lagerart]],MGKMHR[Bezeichnung],0)),0)</f>
        <v>E-Stapler</v>
      </c>
      <c r="T14" s="674" cm="1">
        <f t="array" ref="T14">IFERROR(IF(MGK[[#This Row],[Bestellaufwand]]="gering",0.25, IF(MGK[[#This Row],[Bestellaufwand]]="mittel",1.5,IF(MGK[[#This Row],[Bestellaufwand]]="hoch",8,0))),0)
+IFERROR(IF(MGK[[#This Row],[Bestellaufwand]]="gering",0.25, IF(MGK[[#This Row],[Bestellaufwand]]="mittel",0.5,IF(MGK[[#This Row],[Bestellaufwand]]="hoch",1,0)))*OrdersPerYear,0)</f>
        <v>3.25</v>
      </c>
      <c r="U14" s="671">
        <f>SUM(MGK[[#This Row],[Maße]:[Elekronik]])</f>
        <v>3.375</v>
      </c>
      <c r="V14" s="675" cm="1">
        <f t="array" ref="V14">IFERROR(INDEX(MGKMHR[Handling],MATCH(MGK[[#This Row],[Lagerart]],MGKMHR[Bezeichnung],0))
*(OrdersPerYear+52/MGK[[#This Row],[Lagerreichweite]])*IF(MGK[[#This Row],[Handling]]="gering",0.25,IF(MGK[[#This Row],[Handling]]="hoch",2,1)),0)</f>
        <v>5</v>
      </c>
      <c r="W14" s="676" cm="1">
        <f t="array" ref="W1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4" s="660" cm="1">
        <f t="array" ref="X1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4" s="660" cm="1">
        <f t="array" ref="Y1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4" s="660" cm="1">
        <f t="array" ref="Z14">OrdersPerYear*IF(MGK[[#This Row],[Prüfaufwand]]="gering",0.25,IF(MGK[[#This Row],[Prüfaufwand]]="mittel",0.5,IF(MGK[[#This Row],[Prüfaufwand]]="hoch",1,0)))
*IF(MGK[[#This Row],[Spezifiaktion]]="Zusammenbau",1,0)*1</f>
        <v>0</v>
      </c>
      <c r="AA14" s="660" cm="1">
        <f t="array" ref="AA14">OrdersPerYear*IF(MGK[[#This Row],[Prüfaufwand]]="hoch",1,0)
*IF(MGK[[#This Row],[Spezifiaktion]]="Zusammenbau",1,0)*0.25</f>
        <v>0</v>
      </c>
      <c r="AB14" s="660" cm="1">
        <f t="array" ref="AB14">OrdersPerYear*IF(MGK[[#This Row],[Prüfaufwand]]="hoch",1,0)
*IF(MGK[[#This Row],[Spezifiaktion]]="Zusammenbau",1,0)*0.25</f>
        <v>0</v>
      </c>
      <c r="AC14" s="660" cm="1">
        <f t="array" ref="AC14">OrdersPerYear*IF(MGK[[#This Row],[Prüfaufwand]]="mittel",0.5,IF(MGK[[#This Row],[Prüfaufwand]]="hoch",1,0))
*IF(MGK[[#This Row],[Spezifiaktion]]="Zusammenbau",1,0)*1.5</f>
        <v>0</v>
      </c>
      <c r="AD14" s="660" cm="1">
        <f t="array" ref="AD14">OrdersPerYear*IF(MGK[[#This Row],[Prüfaufwand]]="hoch",1,0)
*IF(MGK[[#This Row],[Spezifiaktion]]="Zusammenbau",1,0)*0.25</f>
        <v>0</v>
      </c>
      <c r="AE14" s="660" cm="1">
        <f t="array" ref="AE14">OrdersPerYear*IF(MGK[[#This Row],[Bestellaufwand]]="gering",0.15,IF(MGK[[#This Row],[Bestellaufwand]]="mittel",0.5,IF(MGK[[#This Row],[Prüfaufwand]]="hoch",1,0)))
*IF(MGK[[#This Row],[Spezifiaktion]]="Elektronik",1,0)*1</f>
        <v>0</v>
      </c>
      <c r="AF14" s="661" cm="1">
        <f t="array" ref="AF14">IFERROR(SUMPRODUCT(MGK[[#This Row],[Maße]:[Elekronik]],TRANSPOSE($AT$8:$AT$16))*ExchangeRate/SUM(MGK[[#This Row],[Maße]:[Elekronik]]),0)</f>
        <v>68866.666666666672</v>
      </c>
      <c r="AG14" s="671" cm="1">
        <f t="array" ref="AG14">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4" s="671" cm="1">
        <f t="array" ref="AH14">IFERROR(SUMPRODUCT(MGK[[#This Row],[Maße]:[Elekronik]],TRANSPOSE($AV$8:$AV$16),TRANSPOSE($AW$8:$AW$16))/SUM(MGK[[#This Row],[Maße]:[Elekronik]]),0)</f>
        <v>4.5333333333333332</v>
      </c>
      <c r="AI14" s="671" cm="1">
        <f t="array" ref="AI14">IFERROR(SUMPRODUCT(MGK[[#This Row],[Maße]:[Elekronik]],TRANSPOSE($AX$8:$AX$16))/SUM(MGK[[#This Row],[Maße]:[Elekronik]]),0)</f>
        <v>6.666666666666667</v>
      </c>
      <c r="AJ14" s="671">
        <f>IFERROR(INDEX(MGKMHR[Invest],MATCH(MGK[[#This Row],[Lagerart]],MGKMHR[Bezeichnung],0))*ExchangeRate,0)</f>
        <v>30.6</v>
      </c>
      <c r="AK14" s="671">
        <f>IFERROR(MGK[[#This Row],[L-Invest]]*(1/INDEX(MGKMHR[AfA],MATCH(MGK[[#This Row],[Lagerart]],MGKMHR[Bezeichnung],0))+INDEX(MGKMHR[Verbrauchsmaterial],MATCH(MGK[[#This Row],[Lagerart]],MGKMHR[Bezeichnung],0))+INDEX(MGKMHR[Instandhaltung],MATCH(MGK[[#This Row],[Lagerart]],MGKMHR[Bezeichnung],0)))/(365*24),0)</f>
        <v>4.3547945205479459E-4</v>
      </c>
      <c r="AL14" s="671">
        <f>IFERROR(INDEX(MGKMHR[Strom],MATCH(MGK[[#This Row],[Lagerart]],MGKMHR[Bezeichnung],0))*INDEX(MGKMHR[Faktor],MATCH(MGK[[#This Row],[Lagerart]],MGKMHR[Bezeichnung],0)),0)</f>
        <v>5.4794520547945206E-3</v>
      </c>
      <c r="AM14" s="671">
        <f>IFERROR(INDEX(MGKMHR[Fläche],MATCH(MGK[[#This Row],[Lagerart]],MGKMHR[Bezeichnung],0)),0)</f>
        <v>0.5</v>
      </c>
      <c r="AN14" s="661">
        <f>IFERROR(INDEX(MGKMHR[Invest],MATCH(MGK[[#This Row],[Lagerbediengerät]],MGKMHR[Bezeichnung],0))*ExchangeRate,0)</f>
        <v>20000</v>
      </c>
      <c r="AO14" s="671">
        <f>IFERROR(MGK[[#This Row],[B-Invest]]*(1/INDEX(MGKMHR[AfA],MATCH(MGK[[#This Row],[Lagerbediengerät]],MGKMHR[Bezeichnung],0))+INDEX(MGKMHR[Verbrauchsmaterial],MATCH(MGK[[#This Row],[Lagerbediengerät]],MGKMHR[Bezeichnung],0))+INDEX(MGKMHR[Instandhaltung],MATCH(MGK[[#This Row],[Lagerbediengerät]],MGKMHR[Bezeichnung],0)))/(250*16*0.8),0)</f>
        <v>6.25</v>
      </c>
      <c r="AP14" s="671">
        <f>IFERROR(INDEX(MGKMHR[Strom],MATCH(MGK[[#This Row],[Lagerbediengerät]],MGKMHR[Bezeichnung],0))*INDEX(MGKMHR[Faktor],MATCH(MGK[[#This Row],[Lagerbediengerät]],MGKMHR[Bezeichnung],0)),0)</f>
        <v>9.6999999999999993</v>
      </c>
      <c r="AQ14" s="671">
        <f>IFERROR(INDEX(MGKMHR[Fläche],MATCH(MGK[[#This Row],[Lagerbediengerät]],MGKMHR[Bezeichnung],0)),0)</f>
        <v>0</v>
      </c>
      <c r="AR14" s="327"/>
      <c r="AS14" s="666" t="s">
        <v>1031</v>
      </c>
      <c r="AT14" s="228">
        <v>155000</v>
      </c>
      <c r="AU14" s="228">
        <v>14</v>
      </c>
      <c r="AV14" s="228">
        <v>27.7</v>
      </c>
      <c r="AW14" s="228">
        <v>1</v>
      </c>
      <c r="AX14" s="228">
        <v>10</v>
      </c>
      <c r="AY14" s="328">
        <v>0.02</v>
      </c>
      <c r="AZ14" s="328">
        <v>3.7999999999999999E-2</v>
      </c>
      <c r="BA14" s="328"/>
      <c r="BB14" s="328"/>
      <c r="BD14" s="665">
        <v>20000</v>
      </c>
      <c r="BE14" s="202">
        <f>AVERAGE(BF14:BG14)</f>
        <v>5</v>
      </c>
      <c r="BF14" s="239">
        <v>8</v>
      </c>
      <c r="BG14" s="239">
        <v>2</v>
      </c>
      <c r="BI14" s="660" t="s">
        <v>1265</v>
      </c>
      <c r="BJ14" s="660" t="s">
        <v>1265</v>
      </c>
      <c r="BK14" s="661">
        <v>1</v>
      </c>
      <c r="BN14" s="331" t="s">
        <v>989</v>
      </c>
    </row>
    <row r="15" spans="2:69">
      <c r="B15" s="671" t="str">
        <f>IF(Language="DE",MGK[[#This Row],[DE]],MGK[[#This Row],[EN]])</f>
        <v>Metal block</v>
      </c>
      <c r="C15" s="228" t="s">
        <v>1098</v>
      </c>
      <c r="D15" s="228" t="s">
        <v>1258</v>
      </c>
      <c r="E15" s="228" t="s">
        <v>991</v>
      </c>
      <c r="F15" s="228" t="s">
        <v>1000</v>
      </c>
      <c r="G15" s="228" t="s">
        <v>995</v>
      </c>
      <c r="H15" s="228" t="s">
        <v>991</v>
      </c>
      <c r="I15" s="228" t="s">
        <v>1095</v>
      </c>
      <c r="J15" s="324" t="s">
        <v>2184</v>
      </c>
      <c r="K15" s="228">
        <v>4</v>
      </c>
      <c r="L15" s="325">
        <v>1000</v>
      </c>
      <c r="M15" s="326">
        <v>10000</v>
      </c>
      <c r="N15" s="326"/>
      <c r="O15" s="326"/>
      <c r="P15" s="326">
        <v>1000</v>
      </c>
      <c r="Q15" s="326"/>
      <c r="R15" s="324">
        <v>2</v>
      </c>
      <c r="S15" s="673" t="str">
        <f>IFERROR(INDEX(MGKMHR[Gerät],MATCH(MGK[[#This Row],[Lagerart]],MGKMHR[Bezeichnung],0)),0)</f>
        <v>E-Stapler</v>
      </c>
      <c r="T15" s="674" cm="1">
        <f t="array" ref="T15">IFERROR(IF(MGK[[#This Row],[Bestellaufwand]]="gering",0.25, IF(MGK[[#This Row],[Bestellaufwand]]="mittel",1.5,IF(MGK[[#This Row],[Bestellaufwand]]="hoch",8,0))),0)
+IFERROR(IF(MGK[[#This Row],[Bestellaufwand]]="gering",0.25, IF(MGK[[#This Row],[Bestellaufwand]]="mittel",0.5,IF(MGK[[#This Row],[Bestellaufwand]]="hoch",1,0)))*OrdersPerYear,0)</f>
        <v>3.25</v>
      </c>
      <c r="U15" s="671">
        <f>SUM(MGK[[#This Row],[Maße]:[Elekronik]])</f>
        <v>3.375</v>
      </c>
      <c r="V15" s="675" cm="1">
        <f t="array" ref="V15">IFERROR(INDEX(MGKMHR[Handling],MATCH(MGK[[#This Row],[Lagerart]],MGKMHR[Bezeichnung],0))
*(OrdersPerYear+52/MGK[[#This Row],[Lagerreichweite]])*IF(MGK[[#This Row],[Handling]]="gering",0.25,IF(MGK[[#This Row],[Handling]]="hoch",2,1)),0)</f>
        <v>5</v>
      </c>
      <c r="W15" s="676" cm="1">
        <f t="array" ref="W1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5" s="660" cm="1">
        <f t="array" ref="X1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5" s="660" cm="1">
        <f t="array" ref="Y1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5" s="660" cm="1">
        <f t="array" ref="Z15">OrdersPerYear*IF(MGK[[#This Row],[Prüfaufwand]]="gering",0.25,IF(MGK[[#This Row],[Prüfaufwand]]="mittel",0.5,IF(MGK[[#This Row],[Prüfaufwand]]="hoch",1,0)))
*IF(MGK[[#This Row],[Spezifiaktion]]="Zusammenbau",1,0)*1</f>
        <v>0</v>
      </c>
      <c r="AA15" s="660" cm="1">
        <f t="array" ref="AA15">OrdersPerYear*IF(MGK[[#This Row],[Prüfaufwand]]="hoch",1,0)
*IF(MGK[[#This Row],[Spezifiaktion]]="Zusammenbau",1,0)*0.25</f>
        <v>0</v>
      </c>
      <c r="AB15" s="660" cm="1">
        <f t="array" ref="AB15">OrdersPerYear*IF(MGK[[#This Row],[Prüfaufwand]]="hoch",1,0)
*IF(MGK[[#This Row],[Spezifiaktion]]="Zusammenbau",1,0)*0.25</f>
        <v>0</v>
      </c>
      <c r="AC15" s="660" cm="1">
        <f t="array" ref="AC15">OrdersPerYear*IF(MGK[[#This Row],[Prüfaufwand]]="mittel",0.5,IF(MGK[[#This Row],[Prüfaufwand]]="hoch",1,0))
*IF(MGK[[#This Row],[Spezifiaktion]]="Zusammenbau",1,0)*1.5</f>
        <v>0</v>
      </c>
      <c r="AD15" s="660" cm="1">
        <f t="array" ref="AD15">OrdersPerYear*IF(MGK[[#This Row],[Prüfaufwand]]="hoch",1,0)
*IF(MGK[[#This Row],[Spezifiaktion]]="Zusammenbau",1,0)*0.25</f>
        <v>0</v>
      </c>
      <c r="AE15" s="660" cm="1">
        <f t="array" ref="AE15">OrdersPerYear*IF(MGK[[#This Row],[Bestellaufwand]]="gering",0.15,IF(MGK[[#This Row],[Bestellaufwand]]="mittel",0.5,IF(MGK[[#This Row],[Prüfaufwand]]="hoch",1,0)))
*IF(MGK[[#This Row],[Spezifiaktion]]="Elektronik",1,0)*1</f>
        <v>0</v>
      </c>
      <c r="AF15" s="661" cm="1">
        <f t="array" ref="AF15">IFERROR(SUMPRODUCT(MGK[[#This Row],[Maße]:[Elekronik]],TRANSPOSE($AT$8:$AT$16))*ExchangeRate/SUM(MGK[[#This Row],[Maße]:[Elekronik]]),0)</f>
        <v>68866.666666666672</v>
      </c>
      <c r="AG15" s="671" cm="1">
        <f t="array" ref="AG15">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5" s="671" cm="1">
        <f t="array" ref="AH15">IFERROR(SUMPRODUCT(MGK[[#This Row],[Maße]:[Elekronik]],TRANSPOSE($AV$8:$AV$16),TRANSPOSE($AW$8:$AW$16))/SUM(MGK[[#This Row],[Maße]:[Elekronik]]),0)</f>
        <v>4.5333333333333332</v>
      </c>
      <c r="AI15" s="671" cm="1">
        <f t="array" ref="AI15">IFERROR(SUMPRODUCT(MGK[[#This Row],[Maße]:[Elekronik]],TRANSPOSE($AX$8:$AX$16))/SUM(MGK[[#This Row],[Maße]:[Elekronik]]),0)</f>
        <v>6.666666666666667</v>
      </c>
      <c r="AJ15" s="671">
        <f>IFERROR(INDEX(MGKMHR[Invest],MATCH(MGK[[#This Row],[Lagerart]],MGKMHR[Bezeichnung],0))*ExchangeRate,0)</f>
        <v>30.6</v>
      </c>
      <c r="AK15" s="671">
        <f>IFERROR(MGK[[#This Row],[L-Invest]]*(1/INDEX(MGKMHR[AfA],MATCH(MGK[[#This Row],[Lagerart]],MGKMHR[Bezeichnung],0))+INDEX(MGKMHR[Verbrauchsmaterial],MATCH(MGK[[#This Row],[Lagerart]],MGKMHR[Bezeichnung],0))+INDEX(MGKMHR[Instandhaltung],MATCH(MGK[[#This Row],[Lagerart]],MGKMHR[Bezeichnung],0)))/(365*24),0)</f>
        <v>4.3547945205479459E-4</v>
      </c>
      <c r="AL15" s="671">
        <f>IFERROR(INDEX(MGKMHR[Strom],MATCH(MGK[[#This Row],[Lagerart]],MGKMHR[Bezeichnung],0))*INDEX(MGKMHR[Faktor],MATCH(MGK[[#This Row],[Lagerart]],MGKMHR[Bezeichnung],0)),0)</f>
        <v>5.4794520547945206E-3</v>
      </c>
      <c r="AM15" s="671">
        <f>IFERROR(INDEX(MGKMHR[Fläche],MATCH(MGK[[#This Row],[Lagerart]],MGKMHR[Bezeichnung],0)),0)</f>
        <v>0.5</v>
      </c>
      <c r="AN15" s="661">
        <f>IFERROR(INDEX(MGKMHR[Invest],MATCH(MGK[[#This Row],[Lagerbediengerät]],MGKMHR[Bezeichnung],0))*ExchangeRate,0)</f>
        <v>20000</v>
      </c>
      <c r="AO15" s="671">
        <f>IFERROR(MGK[[#This Row],[B-Invest]]*(1/INDEX(MGKMHR[AfA],MATCH(MGK[[#This Row],[Lagerbediengerät]],MGKMHR[Bezeichnung],0))+INDEX(MGKMHR[Verbrauchsmaterial],MATCH(MGK[[#This Row],[Lagerbediengerät]],MGKMHR[Bezeichnung],0))+INDEX(MGKMHR[Instandhaltung],MATCH(MGK[[#This Row],[Lagerbediengerät]],MGKMHR[Bezeichnung],0)))/(250*16*0.8),0)</f>
        <v>6.25</v>
      </c>
      <c r="AP15" s="671">
        <f>IFERROR(INDEX(MGKMHR[Strom],MATCH(MGK[[#This Row],[Lagerbediengerät]],MGKMHR[Bezeichnung],0))*INDEX(MGKMHR[Faktor],MATCH(MGK[[#This Row],[Lagerbediengerät]],MGKMHR[Bezeichnung],0)),0)</f>
        <v>9.6999999999999993</v>
      </c>
      <c r="AQ15" s="671">
        <f>IFERROR(INDEX(MGKMHR[Fläche],MATCH(MGK[[#This Row],[Lagerbediengerät]],MGKMHR[Bezeichnung],0)),0)</f>
        <v>0</v>
      </c>
      <c r="AR15" s="327"/>
      <c r="AS15" s="666" t="s">
        <v>1032</v>
      </c>
      <c r="AT15" s="228">
        <v>460000</v>
      </c>
      <c r="AU15" s="228">
        <v>14</v>
      </c>
      <c r="AV15" s="228">
        <v>91</v>
      </c>
      <c r="AW15" s="228">
        <v>1</v>
      </c>
      <c r="AX15" s="228">
        <v>10</v>
      </c>
      <c r="AY15" s="328">
        <v>0.02</v>
      </c>
      <c r="AZ15" s="328">
        <v>3.7999999999999999E-2</v>
      </c>
      <c r="BA15" s="328"/>
      <c r="BB15" s="328"/>
      <c r="BD15" s="665">
        <v>100000</v>
      </c>
      <c r="BE15" s="202">
        <f>AVERAGE(BF15:BG15)</f>
        <v>2.5</v>
      </c>
      <c r="BF15" s="239">
        <v>4</v>
      </c>
      <c r="BG15" s="239">
        <v>1</v>
      </c>
      <c r="BI15" s="660" t="s">
        <v>2321</v>
      </c>
      <c r="BJ15" s="660" t="s">
        <v>1266</v>
      </c>
      <c r="BK15" s="661">
        <v>1000</v>
      </c>
      <c r="BN15" s="332" t="s">
        <v>1000</v>
      </c>
    </row>
    <row r="16" spans="2:69" ht="13.5" thickBot="1">
      <c r="B16" s="671" t="str">
        <f>IF(Language="DE",MGK[[#This Row],[DE]],MGK[[#This Row],[EN]])</f>
        <v>Metal powder</v>
      </c>
      <c r="C16" s="228" t="s">
        <v>1099</v>
      </c>
      <c r="D16" s="228" t="s">
        <v>1259</v>
      </c>
      <c r="E16" s="228" t="s">
        <v>991</v>
      </c>
      <c r="F16" s="228" t="s">
        <v>1000</v>
      </c>
      <c r="G16" s="228" t="s">
        <v>995</v>
      </c>
      <c r="H16" s="228" t="s">
        <v>991</v>
      </c>
      <c r="I16" s="228" t="s">
        <v>993</v>
      </c>
      <c r="J16" s="324" t="s">
        <v>2184</v>
      </c>
      <c r="K16" s="228">
        <v>4</v>
      </c>
      <c r="L16" s="325"/>
      <c r="M16" s="326">
        <v>10000</v>
      </c>
      <c r="N16" s="326"/>
      <c r="O16" s="326"/>
      <c r="P16" s="326"/>
      <c r="Q16" s="326"/>
      <c r="R16" s="324">
        <v>2</v>
      </c>
      <c r="S16" s="673" t="str">
        <f>IFERROR(INDEX(MGKMHR[Gerät],MATCH(MGK[[#This Row],[Lagerart]],MGKMHR[Bezeichnung],0)),0)</f>
        <v>E-Stapler</v>
      </c>
      <c r="T16" s="674" cm="1">
        <f t="array" ref="T16">IFERROR(IF(MGK[[#This Row],[Bestellaufwand]]="gering",0.25, IF(MGK[[#This Row],[Bestellaufwand]]="mittel",1.5,IF(MGK[[#This Row],[Bestellaufwand]]="hoch",8,0))),0)
+IFERROR(IF(MGK[[#This Row],[Bestellaufwand]]="gering",0.25, IF(MGK[[#This Row],[Bestellaufwand]]="mittel",0.5,IF(MGK[[#This Row],[Bestellaufwand]]="hoch",1,0)))*OrdersPerYear,0)</f>
        <v>3.25</v>
      </c>
      <c r="U16" s="671">
        <f>SUM(MGK[[#This Row],[Maße]:[Elekronik]])</f>
        <v>3.375</v>
      </c>
      <c r="V16" s="675" cm="1">
        <f t="array" ref="V16">IFERROR(INDEX(MGKMHR[Handling],MATCH(MGK[[#This Row],[Lagerart]],MGKMHR[Bezeichnung],0))
*(OrdersPerYear+52/MGK[[#This Row],[Lagerreichweite]])*IF(MGK[[#This Row],[Handling]]="gering",0.25,IF(MGK[[#This Row],[Handling]]="hoch",2,1)),0)</f>
        <v>5</v>
      </c>
      <c r="W16" s="676" cm="1">
        <f t="array" ref="W1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6" s="660" cm="1">
        <f t="array" ref="X1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6" s="660" cm="1">
        <f t="array" ref="Y1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6" s="660" cm="1">
        <f t="array" ref="Z16">OrdersPerYear*IF(MGK[[#This Row],[Prüfaufwand]]="gering",0.25,IF(MGK[[#This Row],[Prüfaufwand]]="mittel",0.5,IF(MGK[[#This Row],[Prüfaufwand]]="hoch",1,0)))
*IF(MGK[[#This Row],[Spezifiaktion]]="Zusammenbau",1,0)*1</f>
        <v>0</v>
      </c>
      <c r="AA16" s="660" cm="1">
        <f t="array" ref="AA16">OrdersPerYear*IF(MGK[[#This Row],[Prüfaufwand]]="hoch",1,0)
*IF(MGK[[#This Row],[Spezifiaktion]]="Zusammenbau",1,0)*0.25</f>
        <v>0</v>
      </c>
      <c r="AB16" s="660" cm="1">
        <f t="array" ref="AB16">OrdersPerYear*IF(MGK[[#This Row],[Prüfaufwand]]="hoch",1,0)
*IF(MGK[[#This Row],[Spezifiaktion]]="Zusammenbau",1,0)*0.25</f>
        <v>0</v>
      </c>
      <c r="AC16" s="660" cm="1">
        <f t="array" ref="AC16">OrdersPerYear*IF(MGK[[#This Row],[Prüfaufwand]]="mittel",0.5,IF(MGK[[#This Row],[Prüfaufwand]]="hoch",1,0))
*IF(MGK[[#This Row],[Spezifiaktion]]="Zusammenbau",1,0)*1.5</f>
        <v>0</v>
      </c>
      <c r="AD16" s="660" cm="1">
        <f t="array" ref="AD16">OrdersPerYear*IF(MGK[[#This Row],[Prüfaufwand]]="hoch",1,0)
*IF(MGK[[#This Row],[Spezifiaktion]]="Zusammenbau",1,0)*0.25</f>
        <v>0</v>
      </c>
      <c r="AE16" s="660" cm="1">
        <f t="array" ref="AE16">OrdersPerYear*IF(MGK[[#This Row],[Bestellaufwand]]="gering",0.15,IF(MGK[[#This Row],[Bestellaufwand]]="mittel",0.5,IF(MGK[[#This Row],[Prüfaufwand]]="hoch",1,0)))
*IF(MGK[[#This Row],[Spezifiaktion]]="Elektronik",1,0)*1</f>
        <v>0</v>
      </c>
      <c r="AF16" s="661" cm="1">
        <f t="array" ref="AF16">IFERROR(SUMPRODUCT(MGK[[#This Row],[Maße]:[Elekronik]],TRANSPOSE($AT$8:$AT$16))*ExchangeRate/SUM(MGK[[#This Row],[Maße]:[Elekronik]]),0)</f>
        <v>68866.666666666672</v>
      </c>
      <c r="AG16" s="671" cm="1">
        <f t="array" ref="AG16">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6" s="671" cm="1">
        <f t="array" ref="AH16">IFERROR(SUMPRODUCT(MGK[[#This Row],[Maße]:[Elekronik]],TRANSPOSE($AV$8:$AV$16),TRANSPOSE($AW$8:$AW$16))/SUM(MGK[[#This Row],[Maße]:[Elekronik]]),0)</f>
        <v>4.5333333333333332</v>
      </c>
      <c r="AI16" s="671" cm="1">
        <f t="array" ref="AI16">IFERROR(SUMPRODUCT(MGK[[#This Row],[Maße]:[Elekronik]],TRANSPOSE($AX$8:$AX$16))/SUM(MGK[[#This Row],[Maße]:[Elekronik]]),0)</f>
        <v>6.666666666666667</v>
      </c>
      <c r="AJ16" s="671">
        <f>IFERROR(INDEX(MGKMHR[Invest],MATCH(MGK[[#This Row],[Lagerart]],MGKMHR[Bezeichnung],0))*ExchangeRate,0)</f>
        <v>30.6</v>
      </c>
      <c r="AK16" s="671">
        <f>IFERROR(MGK[[#This Row],[L-Invest]]*(1/INDEX(MGKMHR[AfA],MATCH(MGK[[#This Row],[Lagerart]],MGKMHR[Bezeichnung],0))+INDEX(MGKMHR[Verbrauchsmaterial],MATCH(MGK[[#This Row],[Lagerart]],MGKMHR[Bezeichnung],0))+INDEX(MGKMHR[Instandhaltung],MATCH(MGK[[#This Row],[Lagerart]],MGKMHR[Bezeichnung],0)))/(365*24),0)</f>
        <v>4.3547945205479459E-4</v>
      </c>
      <c r="AL16" s="671">
        <f>IFERROR(INDEX(MGKMHR[Strom],MATCH(MGK[[#This Row],[Lagerart]],MGKMHR[Bezeichnung],0))*INDEX(MGKMHR[Faktor],MATCH(MGK[[#This Row],[Lagerart]],MGKMHR[Bezeichnung],0)),0)</f>
        <v>5.4794520547945206E-3</v>
      </c>
      <c r="AM16" s="671">
        <f>IFERROR(INDEX(MGKMHR[Fläche],MATCH(MGK[[#This Row],[Lagerart]],MGKMHR[Bezeichnung],0)),0)</f>
        <v>0.5</v>
      </c>
      <c r="AN16" s="661">
        <f>IFERROR(INDEX(MGKMHR[Invest],MATCH(MGK[[#This Row],[Lagerbediengerät]],MGKMHR[Bezeichnung],0))*ExchangeRate,0)</f>
        <v>20000</v>
      </c>
      <c r="AO16" s="671">
        <f>IFERROR(MGK[[#This Row],[B-Invest]]*(1/INDEX(MGKMHR[AfA],MATCH(MGK[[#This Row],[Lagerbediengerät]],MGKMHR[Bezeichnung],0))+INDEX(MGKMHR[Verbrauchsmaterial],MATCH(MGK[[#This Row],[Lagerbediengerät]],MGKMHR[Bezeichnung],0))+INDEX(MGKMHR[Instandhaltung],MATCH(MGK[[#This Row],[Lagerbediengerät]],MGKMHR[Bezeichnung],0)))/(250*16*0.8),0)</f>
        <v>6.25</v>
      </c>
      <c r="AP16" s="671">
        <f>IFERROR(INDEX(MGKMHR[Strom],MATCH(MGK[[#This Row],[Lagerbediengerät]],MGKMHR[Bezeichnung],0))*INDEX(MGKMHR[Faktor],MATCH(MGK[[#This Row],[Lagerbediengerät]],MGKMHR[Bezeichnung],0)),0)</f>
        <v>9.6999999999999993</v>
      </c>
      <c r="AQ16" s="671">
        <f>IFERROR(INDEX(MGKMHR[Fläche],MATCH(MGK[[#This Row],[Lagerbediengerät]],MGKMHR[Bezeichnung],0)),0)</f>
        <v>0</v>
      </c>
      <c r="AR16" s="327"/>
      <c r="AS16" s="667" t="s">
        <v>1033</v>
      </c>
      <c r="AT16" s="337">
        <v>500000</v>
      </c>
      <c r="AU16" s="337">
        <v>10</v>
      </c>
      <c r="AV16" s="337">
        <v>10</v>
      </c>
      <c r="AW16" s="337">
        <v>1</v>
      </c>
      <c r="AX16" s="337">
        <v>10</v>
      </c>
      <c r="AY16" s="338">
        <v>0.02</v>
      </c>
      <c r="AZ16" s="338">
        <v>3.7999999999999999E-2</v>
      </c>
      <c r="BA16" s="338"/>
      <c r="BB16" s="338"/>
      <c r="BD16" s="665">
        <v>500000</v>
      </c>
      <c r="BE16" s="202">
        <v>1.5</v>
      </c>
      <c r="BF16" s="239">
        <v>2</v>
      </c>
      <c r="BG16" s="239">
        <v>0.5</v>
      </c>
      <c r="BI16" s="660" t="s">
        <v>2295</v>
      </c>
      <c r="BJ16" s="660" t="s">
        <v>1266</v>
      </c>
      <c r="BK16" s="661">
        <v>100</v>
      </c>
      <c r="BN16" s="332" t="s">
        <v>1001</v>
      </c>
    </row>
    <row r="17" spans="2:67" ht="13.5" thickTop="1">
      <c r="B17" s="671" t="str">
        <f>IF(Language="DE",MGK[[#This Row],[DE]],MGK[[#This Row],[EN]])</f>
        <v>Electronics</v>
      </c>
      <c r="C17" s="228" t="s">
        <v>1003</v>
      </c>
      <c r="D17" s="228" t="s">
        <v>962</v>
      </c>
      <c r="E17" s="228" t="s">
        <v>991</v>
      </c>
      <c r="F17" s="228" t="s">
        <v>1002</v>
      </c>
      <c r="G17" s="228" t="s">
        <v>995</v>
      </c>
      <c r="H17" s="228" t="s">
        <v>991</v>
      </c>
      <c r="I17" s="228" t="s">
        <v>1003</v>
      </c>
      <c r="J17" s="324" t="s">
        <v>2184</v>
      </c>
      <c r="K17" s="228">
        <v>4</v>
      </c>
      <c r="L17" s="325">
        <v>25000</v>
      </c>
      <c r="M17" s="326"/>
      <c r="N17" s="326"/>
      <c r="O17" s="326"/>
      <c r="P17" s="326">
        <v>1</v>
      </c>
      <c r="Q17" s="326"/>
      <c r="R17" s="324">
        <v>0.01</v>
      </c>
      <c r="S17" s="673" t="str">
        <f>IFERROR(INDEX(MGKMHR[Gerät],MATCH(MGK[[#This Row],[Lagerart]],MGKMHR[Bezeichnung],0)),0)</f>
        <v>Niederhubkommisionierer</v>
      </c>
      <c r="T17" s="674" cm="1">
        <f t="array" ref="T17">IFERROR(IF(MGK[[#This Row],[Bestellaufwand]]="gering",0.25, IF(MGK[[#This Row],[Bestellaufwand]]="mittel",1.5,IF(MGK[[#This Row],[Bestellaufwand]]="hoch",8,0))),0)
+IFERROR(IF(MGK[[#This Row],[Bestellaufwand]]="gering",0.25, IF(MGK[[#This Row],[Bestellaufwand]]="mittel",0.5,IF(MGK[[#This Row],[Bestellaufwand]]="hoch",1,0)))*OrdersPerYear,0)</f>
        <v>3.25</v>
      </c>
      <c r="U17" s="671">
        <f>SUM(MGK[[#This Row],[Maße]:[Elekronik]])</f>
        <v>1.7999999999999998</v>
      </c>
      <c r="V17" s="675" cm="1">
        <f t="array" ref="V17">IFERROR(INDEX(MGKMHR[Handling],MATCH(MGK[[#This Row],[Lagerart]],MGKMHR[Bezeichnung],0))
*(OrdersPerYear+52/MGK[[#This Row],[Lagerreichweite]])*IF(MGK[[#This Row],[Handling]]="gering",0.25,IF(MGK[[#This Row],[Handling]]="hoch",2,1)),0)</f>
        <v>0.10416666666666667</v>
      </c>
      <c r="W17" s="676" cm="1">
        <f t="array" ref="W1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17" s="660" cm="1">
        <f t="array" ref="X1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17" s="660" cm="1">
        <f t="array" ref="Y1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17" s="660" cm="1">
        <f t="array" ref="Z17">OrdersPerYear*IF(MGK[[#This Row],[Prüfaufwand]]="gering",0.25,IF(MGK[[#This Row],[Prüfaufwand]]="mittel",0.5,IF(MGK[[#This Row],[Prüfaufwand]]="hoch",1,0)))
*IF(MGK[[#This Row],[Spezifiaktion]]="Zusammenbau",1,0)*1</f>
        <v>0</v>
      </c>
      <c r="AA17" s="660" cm="1">
        <f t="array" ref="AA17">OrdersPerYear*IF(MGK[[#This Row],[Prüfaufwand]]="hoch",1,0)
*IF(MGK[[#This Row],[Spezifiaktion]]="Zusammenbau",1,0)*0.25</f>
        <v>0</v>
      </c>
      <c r="AB17" s="660" cm="1">
        <f t="array" ref="AB17">OrdersPerYear*IF(MGK[[#This Row],[Prüfaufwand]]="hoch",1,0)
*IF(MGK[[#This Row],[Spezifiaktion]]="Zusammenbau",1,0)*0.25</f>
        <v>0</v>
      </c>
      <c r="AC17" s="660" cm="1">
        <f t="array" ref="AC17">OrdersPerYear*IF(MGK[[#This Row],[Prüfaufwand]]="mittel",0.5,IF(MGK[[#This Row],[Prüfaufwand]]="hoch",1,0))
*IF(MGK[[#This Row],[Spezifiaktion]]="Zusammenbau",1,0)*1.5</f>
        <v>0</v>
      </c>
      <c r="AD17" s="660" cm="1">
        <f t="array" ref="AD17">OrdersPerYear*IF(MGK[[#This Row],[Prüfaufwand]]="hoch",1,0)
*IF(MGK[[#This Row],[Spezifiaktion]]="Zusammenbau",1,0)*0.25</f>
        <v>0</v>
      </c>
      <c r="AE17" s="660" cm="1">
        <f t="array" ref="AE17">OrdersPerYear*IF(MGK[[#This Row],[Bestellaufwand]]="gering",0.15,IF(MGK[[#This Row],[Bestellaufwand]]="mittel",0.5,IF(MGK[[#This Row],[Prüfaufwand]]="hoch",1,0)))
*IF(MGK[[#This Row],[Spezifiaktion]]="Elektronik",1,0)*1</f>
        <v>1.7999999999999998</v>
      </c>
      <c r="AF17" s="661" cm="1">
        <f t="array" ref="AF17">IFERROR(SUMPRODUCT(MGK[[#This Row],[Maße]:[Elekronik]],TRANSPOSE($AT$8:$AT$16))*ExchangeRate/SUM(MGK[[#This Row],[Maße]:[Elekronik]]),0)</f>
        <v>500000</v>
      </c>
      <c r="AG17" s="671" cm="1">
        <f t="array" ref="AG17">IFERROR((SUMPRODUCT(MGK[[#This Row],[Maße]:[Elekronik]],TRANSPOSE($AT$8:$AT$16),1/TRANSPOSE($AU$8:$AU$16))+SUMPRODUCT(MGK[[#This Row],[Maße]:[Elekronik]],TRANSPOSE($AT$8:$AT$16),TRANSPOSE($AY$8:$AY$16))+SUMPRODUCT(MGK[[#This Row],[Maße]:[Elekronik]],TRANSPOSE($AT$8:$AT$16),TRANSPOSE($AZ$8:$AZ$16)))*ExchangeRate/(250*8*0.8)/SUM(MGK[[#This Row],[Maße]:[Elekronik]]),0)</f>
        <v>49.375000000000007</v>
      </c>
      <c r="AH17" s="671" cm="1">
        <f t="array" ref="AH17">IFERROR(SUMPRODUCT(MGK[[#This Row],[Maße]:[Elekronik]],TRANSPOSE($AV$8:$AV$16),TRANSPOSE($AW$8:$AW$16))/SUM(MGK[[#This Row],[Maße]:[Elekronik]]),0)</f>
        <v>10.000000000000002</v>
      </c>
      <c r="AI17" s="671" cm="1">
        <f t="array" ref="AI17">IFERROR(SUMPRODUCT(MGK[[#This Row],[Maße]:[Elekronik]],TRANSPOSE($AX$8:$AX$16))/SUM(MGK[[#This Row],[Maße]:[Elekronik]]),0)</f>
        <v>10.000000000000002</v>
      </c>
      <c r="AJ17" s="671">
        <f>IFERROR(INDEX(MGKMHR[Invest],MATCH(MGK[[#This Row],[Lagerart]],MGKMHR[Bezeichnung],0))*ExchangeRate,0)</f>
        <v>40000</v>
      </c>
      <c r="AK17" s="671">
        <f>IFERROR(MGK[[#This Row],[L-Invest]]*(1/INDEX(MGKMHR[AfA],MATCH(MGK[[#This Row],[Lagerart]],MGKMHR[Bezeichnung],0))+INDEX(MGKMHR[Verbrauchsmaterial],MATCH(MGK[[#This Row],[Lagerart]],MGKMHR[Bezeichnung],0))+INDEX(MGKMHR[Instandhaltung],MATCH(MGK[[#This Row],[Lagerart]],MGKMHR[Bezeichnung],0)))/(365*24),0)</f>
        <v>0.37290715372907152</v>
      </c>
      <c r="AL17" s="671">
        <f>IFERROR(INDEX(MGKMHR[Strom],MATCH(MGK[[#This Row],[Lagerart]],MGKMHR[Bezeichnung],0))*INDEX(MGKMHR[Faktor],MATCH(MGK[[#This Row],[Lagerart]],MGKMHR[Bezeichnung],0)),0)</f>
        <v>3.2876712328767127E-2</v>
      </c>
      <c r="AM17" s="671">
        <f>IFERROR(INDEX(MGKMHR[Fläche],MATCH(MGK[[#This Row],[Lagerart]],MGKMHR[Bezeichnung],0)),0)</f>
        <v>3</v>
      </c>
      <c r="AN17" s="661">
        <f>IFERROR(INDEX(MGKMHR[Invest],MATCH(MGK[[#This Row],[Lagerbediengerät]],MGKMHR[Bezeichnung],0))*ExchangeRate,0)</f>
        <v>2000</v>
      </c>
      <c r="AO17" s="671">
        <f>IFERROR(MGK[[#This Row],[B-Invest]]*(1/INDEX(MGKMHR[AfA],MATCH(MGK[[#This Row],[Lagerbediengerät]],MGKMHR[Bezeichnung],0))+INDEX(MGKMHR[Verbrauchsmaterial],MATCH(MGK[[#This Row],[Lagerbediengerät]],MGKMHR[Bezeichnung],0))+INDEX(MGKMHR[Instandhaltung],MATCH(MGK[[#This Row],[Lagerbediengerät]],MGKMHR[Bezeichnung],0)))/(250*16*0.8),0)</f>
        <v>0.625</v>
      </c>
      <c r="AP17" s="671">
        <f>IFERROR(INDEX(MGKMHR[Strom],MATCH(MGK[[#This Row],[Lagerbediengerät]],MGKMHR[Bezeichnung],0))*INDEX(MGKMHR[Faktor],MATCH(MGK[[#This Row],[Lagerbediengerät]],MGKMHR[Bezeichnung],0)),0)</f>
        <v>1</v>
      </c>
      <c r="AQ17" s="671">
        <f>IFERROR(INDEX(MGKMHR[Fläche],MATCH(MGK[[#This Row],[Lagerbediengerät]],MGKMHR[Bezeichnung],0)),0)</f>
        <v>0</v>
      </c>
      <c r="AR17" s="327"/>
      <c r="AS17" s="668" t="s">
        <v>1000</v>
      </c>
      <c r="AT17" s="339">
        <v>30.6</v>
      </c>
      <c r="AU17" s="339">
        <v>15</v>
      </c>
      <c r="AV17" s="339">
        <v>5.4794520547945206E-3</v>
      </c>
      <c r="AW17" s="339">
        <v>1</v>
      </c>
      <c r="AX17" s="339">
        <v>0.5</v>
      </c>
      <c r="AY17" s="340">
        <v>0.02</v>
      </c>
      <c r="AZ17" s="340">
        <v>3.7999999999999999E-2</v>
      </c>
      <c r="BA17" s="340" t="s">
        <v>1063</v>
      </c>
      <c r="BB17" s="340">
        <v>0.2</v>
      </c>
      <c r="BD17" s="34"/>
      <c r="BE17" s="4"/>
      <c r="BG17" s="5"/>
      <c r="BI17" s="660" t="s">
        <v>2322</v>
      </c>
      <c r="BJ17" s="660" t="s">
        <v>1266</v>
      </c>
      <c r="BK17" s="661">
        <v>10</v>
      </c>
      <c r="BN17" s="332" t="s">
        <v>996</v>
      </c>
    </row>
    <row r="18" spans="2:67">
      <c r="B18" s="671" t="str">
        <f>IF(Language="DE",MGK[[#This Row],[DE]],MGK[[#This Row],[EN]])</f>
        <v>Glas</v>
      </c>
      <c r="C18" s="228" t="s">
        <v>1008</v>
      </c>
      <c r="D18" s="228" t="s">
        <v>1008</v>
      </c>
      <c r="E18" s="228" t="s">
        <v>991</v>
      </c>
      <c r="F18" s="228" t="s">
        <v>1000</v>
      </c>
      <c r="G18" s="228" t="s">
        <v>995</v>
      </c>
      <c r="H18" s="228" t="s">
        <v>991</v>
      </c>
      <c r="I18" s="228" t="s">
        <v>993</v>
      </c>
      <c r="J18" s="324" t="s">
        <v>2184</v>
      </c>
      <c r="K18" s="228">
        <v>4</v>
      </c>
      <c r="L18" s="325"/>
      <c r="M18" s="326">
        <v>1000</v>
      </c>
      <c r="N18" s="326"/>
      <c r="O18" s="326"/>
      <c r="P18" s="326"/>
      <c r="Q18" s="326"/>
      <c r="R18" s="324">
        <v>1</v>
      </c>
      <c r="S18" s="673" t="str">
        <f>IFERROR(INDEX(MGKMHR[Gerät],MATCH(MGK[[#This Row],[Lagerart]],MGKMHR[Bezeichnung],0)),0)</f>
        <v>E-Stapler</v>
      </c>
      <c r="T18" s="674" cm="1">
        <f t="array" ref="T18">IFERROR(IF(MGK[[#This Row],[Bestellaufwand]]="gering",0.25, IF(MGK[[#This Row],[Bestellaufwand]]="mittel",1.5,IF(MGK[[#This Row],[Bestellaufwand]]="hoch",8,0))),0)
+IFERROR(IF(MGK[[#This Row],[Bestellaufwand]]="gering",0.25, IF(MGK[[#This Row],[Bestellaufwand]]="mittel",0.5,IF(MGK[[#This Row],[Bestellaufwand]]="hoch",1,0)))*OrdersPerYear,0)</f>
        <v>3.25</v>
      </c>
      <c r="U18" s="671">
        <f>SUM(MGK[[#This Row],[Maße]:[Elekronik]])</f>
        <v>3.375</v>
      </c>
      <c r="V18" s="675" cm="1">
        <f t="array" ref="V18">IFERROR(INDEX(MGKMHR[Handling],MATCH(MGK[[#This Row],[Lagerart]],MGKMHR[Bezeichnung],0))
*(OrdersPerYear+52/MGK[[#This Row],[Lagerreichweite]])*IF(MGK[[#This Row],[Handling]]="gering",0.25,IF(MGK[[#This Row],[Handling]]="hoch",2,1)),0)</f>
        <v>5</v>
      </c>
      <c r="W18" s="676" cm="1">
        <f t="array" ref="W1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8" s="660" cm="1">
        <f t="array" ref="X1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8" s="660" cm="1">
        <f t="array" ref="Y1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8" s="660" cm="1">
        <f t="array" ref="Z18">OrdersPerYear*IF(MGK[[#This Row],[Prüfaufwand]]="gering",0.25,IF(MGK[[#This Row],[Prüfaufwand]]="mittel",0.5,IF(MGK[[#This Row],[Prüfaufwand]]="hoch",1,0)))
*IF(MGK[[#This Row],[Spezifiaktion]]="Zusammenbau",1,0)*1</f>
        <v>0</v>
      </c>
      <c r="AA18" s="660" cm="1">
        <f t="array" ref="AA18">OrdersPerYear*IF(MGK[[#This Row],[Prüfaufwand]]="hoch",1,0)
*IF(MGK[[#This Row],[Spezifiaktion]]="Zusammenbau",1,0)*0.25</f>
        <v>0</v>
      </c>
      <c r="AB18" s="660" cm="1">
        <f t="array" ref="AB18">OrdersPerYear*IF(MGK[[#This Row],[Prüfaufwand]]="hoch",1,0)
*IF(MGK[[#This Row],[Spezifiaktion]]="Zusammenbau",1,0)*0.25</f>
        <v>0</v>
      </c>
      <c r="AC18" s="660" cm="1">
        <f t="array" ref="AC18">OrdersPerYear*IF(MGK[[#This Row],[Prüfaufwand]]="mittel",0.5,IF(MGK[[#This Row],[Prüfaufwand]]="hoch",1,0))
*IF(MGK[[#This Row],[Spezifiaktion]]="Zusammenbau",1,0)*1.5</f>
        <v>0</v>
      </c>
      <c r="AD18" s="660" cm="1">
        <f t="array" ref="AD18">OrdersPerYear*IF(MGK[[#This Row],[Prüfaufwand]]="hoch",1,0)
*IF(MGK[[#This Row],[Spezifiaktion]]="Zusammenbau",1,0)*0.25</f>
        <v>0</v>
      </c>
      <c r="AE18" s="660" cm="1">
        <f t="array" ref="AE18">OrdersPerYear*IF(MGK[[#This Row],[Bestellaufwand]]="gering",0.15,IF(MGK[[#This Row],[Bestellaufwand]]="mittel",0.5,IF(MGK[[#This Row],[Prüfaufwand]]="hoch",1,0)))
*IF(MGK[[#This Row],[Spezifiaktion]]="Elektronik",1,0)*1</f>
        <v>0</v>
      </c>
      <c r="AF18" s="661" cm="1">
        <f t="array" ref="AF18">IFERROR(SUMPRODUCT(MGK[[#This Row],[Maße]:[Elekronik]],TRANSPOSE($AT$8:$AT$16))*ExchangeRate/SUM(MGK[[#This Row],[Maße]:[Elekronik]]),0)</f>
        <v>68866.666666666672</v>
      </c>
      <c r="AG18" s="671" cm="1">
        <f t="array" ref="AG18">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8" s="671" cm="1">
        <f t="array" ref="AH18">IFERROR(SUMPRODUCT(MGK[[#This Row],[Maße]:[Elekronik]],TRANSPOSE($AV$8:$AV$16),TRANSPOSE($AW$8:$AW$16))/SUM(MGK[[#This Row],[Maße]:[Elekronik]]),0)</f>
        <v>4.5333333333333332</v>
      </c>
      <c r="AI18" s="671" cm="1">
        <f t="array" ref="AI18">IFERROR(SUMPRODUCT(MGK[[#This Row],[Maße]:[Elekronik]],TRANSPOSE($AX$8:$AX$16))/SUM(MGK[[#This Row],[Maße]:[Elekronik]]),0)</f>
        <v>6.666666666666667</v>
      </c>
      <c r="AJ18" s="671">
        <f>IFERROR(INDEX(MGKMHR[Invest],MATCH(MGK[[#This Row],[Lagerart]],MGKMHR[Bezeichnung],0))*ExchangeRate,0)</f>
        <v>30.6</v>
      </c>
      <c r="AK18" s="671">
        <f>IFERROR(MGK[[#This Row],[L-Invest]]*(1/INDEX(MGKMHR[AfA],MATCH(MGK[[#This Row],[Lagerart]],MGKMHR[Bezeichnung],0))+INDEX(MGKMHR[Verbrauchsmaterial],MATCH(MGK[[#This Row],[Lagerart]],MGKMHR[Bezeichnung],0))+INDEX(MGKMHR[Instandhaltung],MATCH(MGK[[#This Row],[Lagerart]],MGKMHR[Bezeichnung],0)))/(365*24),0)</f>
        <v>4.3547945205479459E-4</v>
      </c>
      <c r="AL18" s="671">
        <f>IFERROR(INDEX(MGKMHR[Strom],MATCH(MGK[[#This Row],[Lagerart]],MGKMHR[Bezeichnung],0))*INDEX(MGKMHR[Faktor],MATCH(MGK[[#This Row],[Lagerart]],MGKMHR[Bezeichnung],0)),0)</f>
        <v>5.4794520547945206E-3</v>
      </c>
      <c r="AM18" s="671">
        <f>IFERROR(INDEX(MGKMHR[Fläche],MATCH(MGK[[#This Row],[Lagerart]],MGKMHR[Bezeichnung],0)),0)</f>
        <v>0.5</v>
      </c>
      <c r="AN18" s="661">
        <f>IFERROR(INDEX(MGKMHR[Invest],MATCH(MGK[[#This Row],[Lagerbediengerät]],MGKMHR[Bezeichnung],0))*ExchangeRate,0)</f>
        <v>20000</v>
      </c>
      <c r="AO18" s="671">
        <f>IFERROR(MGK[[#This Row],[B-Invest]]*(1/INDEX(MGKMHR[AfA],MATCH(MGK[[#This Row],[Lagerbediengerät]],MGKMHR[Bezeichnung],0))+INDEX(MGKMHR[Verbrauchsmaterial],MATCH(MGK[[#This Row],[Lagerbediengerät]],MGKMHR[Bezeichnung],0))+INDEX(MGKMHR[Instandhaltung],MATCH(MGK[[#This Row],[Lagerbediengerät]],MGKMHR[Bezeichnung],0)))/(250*16*0.8),0)</f>
        <v>6.25</v>
      </c>
      <c r="AP18" s="671">
        <f>IFERROR(INDEX(MGKMHR[Strom],MATCH(MGK[[#This Row],[Lagerbediengerät]],MGKMHR[Bezeichnung],0))*INDEX(MGKMHR[Faktor],MATCH(MGK[[#This Row],[Lagerbediengerät]],MGKMHR[Bezeichnung],0)),0)</f>
        <v>9.6999999999999993</v>
      </c>
      <c r="AQ18" s="671">
        <f>IFERROR(INDEX(MGKMHR[Fläche],MATCH(MGK[[#This Row],[Lagerbediengerät]],MGKMHR[Bezeichnung],0)),0)</f>
        <v>0</v>
      </c>
      <c r="AR18" s="327"/>
      <c r="AS18" s="666" t="s">
        <v>1001</v>
      </c>
      <c r="AT18" s="228">
        <v>313</v>
      </c>
      <c r="AU18" s="228">
        <v>15</v>
      </c>
      <c r="AV18" s="228">
        <v>2.0700152207001523E-3</v>
      </c>
      <c r="AW18" s="228">
        <v>1</v>
      </c>
      <c r="AX18" s="228">
        <v>0.18888888888888888</v>
      </c>
      <c r="AY18" s="328">
        <v>0.02</v>
      </c>
      <c r="AZ18" s="328">
        <v>3.7999999999999999E-2</v>
      </c>
      <c r="BA18" s="328"/>
      <c r="BB18" s="328">
        <v>0.06</v>
      </c>
      <c r="BD18" s="329" t="s">
        <v>1406</v>
      </c>
      <c r="BE18" s="330" t="s">
        <v>96</v>
      </c>
      <c r="BF18" s="330" t="s">
        <v>155</v>
      </c>
      <c r="BG18" s="330" t="s">
        <v>152</v>
      </c>
      <c r="BI18" s="660" t="s">
        <v>1266</v>
      </c>
      <c r="BJ18" s="660" t="s">
        <v>1266</v>
      </c>
      <c r="BK18" s="661">
        <v>1</v>
      </c>
      <c r="BN18" s="332" t="s">
        <v>1021</v>
      </c>
    </row>
    <row r="19" spans="2:67">
      <c r="B19" s="671" t="str">
        <f>IF(Language="DE",MGK[[#This Row],[DE]],MGK[[#This Row],[EN]])</f>
        <v>Surface treatment</v>
      </c>
      <c r="C19" s="228" t="s">
        <v>1100</v>
      </c>
      <c r="D19" s="228" t="s">
        <v>1084</v>
      </c>
      <c r="E19" s="228" t="s">
        <v>995</v>
      </c>
      <c r="F19" s="228" t="s">
        <v>1000</v>
      </c>
      <c r="G19" s="228" t="s">
        <v>995</v>
      </c>
      <c r="H19" s="228" t="s">
        <v>995</v>
      </c>
      <c r="I19" s="228" t="s">
        <v>997</v>
      </c>
      <c r="J19" s="324" t="s">
        <v>2184</v>
      </c>
      <c r="K19" s="228">
        <v>4</v>
      </c>
      <c r="L19" s="325">
        <v>100</v>
      </c>
      <c r="M19" s="326">
        <v>100</v>
      </c>
      <c r="N19" s="326">
        <v>100</v>
      </c>
      <c r="O19" s="326"/>
      <c r="P19" s="326"/>
      <c r="Q19" s="326"/>
      <c r="R19" s="324">
        <v>1</v>
      </c>
      <c r="S19" s="673" t="str">
        <f>IFERROR(INDEX(MGKMHR[Gerät],MATCH(MGK[[#This Row],[Lagerart]],MGKMHR[Bezeichnung],0)),0)</f>
        <v>E-Stapler</v>
      </c>
      <c r="T19" s="674" cm="1">
        <f t="array" ref="T19">IFERROR(IF(MGK[[#This Row],[Bestellaufwand]]="gering",0.25, IF(MGK[[#This Row],[Bestellaufwand]]="mittel",1.5,IF(MGK[[#This Row],[Bestellaufwand]]="hoch",8,0))),0)
+IFERROR(IF(MGK[[#This Row],[Bestellaufwand]]="gering",0.25, IF(MGK[[#This Row],[Bestellaufwand]]="mittel",0.5,IF(MGK[[#This Row],[Bestellaufwand]]="hoch",1,0)))*OrdersPerYear,0)</f>
        <v>7.5</v>
      </c>
      <c r="U19" s="671">
        <f>SUM(MGK[[#This Row],[Maße]:[Elekronik]])</f>
        <v>13.5</v>
      </c>
      <c r="V19" s="675" cm="1">
        <f t="array" ref="V19">IFERROR(INDEX(MGKMHR[Handling],MATCH(MGK[[#This Row],[Lagerart]],MGKMHR[Bezeichnung],0))
*(OrdersPerYear+52/MGK[[#This Row],[Lagerreichweite]])*IF(MGK[[#This Row],[Handling]]="gering",0.25,IF(MGK[[#This Row],[Handling]]="hoch",2,1)),0)</f>
        <v>5</v>
      </c>
      <c r="W19" s="676" cm="1">
        <f t="array" ref="W1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X19" s="660" cm="1">
        <f t="array" ref="X1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Y19" s="660" cm="1">
        <f t="array" ref="Y1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Z19" s="660" cm="1">
        <f t="array" ref="Z19">OrdersPerYear*IF(MGK[[#This Row],[Prüfaufwand]]="gering",0.25,IF(MGK[[#This Row],[Prüfaufwand]]="mittel",0.5,IF(MGK[[#This Row],[Prüfaufwand]]="hoch",1,0)))
*IF(MGK[[#This Row],[Spezifiaktion]]="Zusammenbau",1,0)*1</f>
        <v>0</v>
      </c>
      <c r="AA19" s="660" cm="1">
        <f t="array" ref="AA19">OrdersPerYear*IF(MGK[[#This Row],[Prüfaufwand]]="hoch",1,0)
*IF(MGK[[#This Row],[Spezifiaktion]]="Zusammenbau",1,0)*0.25</f>
        <v>0</v>
      </c>
      <c r="AB19" s="660" cm="1">
        <f t="array" ref="AB19">OrdersPerYear*IF(MGK[[#This Row],[Prüfaufwand]]="hoch",1,0)
*IF(MGK[[#This Row],[Spezifiaktion]]="Zusammenbau",1,0)*0.25</f>
        <v>0</v>
      </c>
      <c r="AC19" s="660" cm="1">
        <f t="array" ref="AC19">OrdersPerYear*IF(MGK[[#This Row],[Prüfaufwand]]="mittel",0.5,IF(MGK[[#This Row],[Prüfaufwand]]="hoch",1,0))
*IF(MGK[[#This Row],[Spezifiaktion]]="Zusammenbau",1,0)*1.5</f>
        <v>0</v>
      </c>
      <c r="AD19" s="660" cm="1">
        <f t="array" ref="AD19">OrdersPerYear*IF(MGK[[#This Row],[Prüfaufwand]]="hoch",1,0)
*IF(MGK[[#This Row],[Spezifiaktion]]="Zusammenbau",1,0)*0.25</f>
        <v>0</v>
      </c>
      <c r="AE19" s="660" cm="1">
        <f t="array" ref="AE19">OrdersPerYear*IF(MGK[[#This Row],[Bestellaufwand]]="gering",0.15,IF(MGK[[#This Row],[Bestellaufwand]]="mittel",0.5,IF(MGK[[#This Row],[Prüfaufwand]]="hoch",1,0)))
*IF(MGK[[#This Row],[Spezifiaktion]]="Elektronik",1,0)*1</f>
        <v>0</v>
      </c>
      <c r="AF19" s="661" cm="1">
        <f t="array" ref="AF19">IFERROR(SUMPRODUCT(MGK[[#This Row],[Maße]:[Elekronik]],TRANSPOSE($AT$8:$AT$16))*ExchangeRate/SUM(MGK[[#This Row],[Maße]:[Elekronik]]),0)</f>
        <v>68866.666666666672</v>
      </c>
      <c r="AG19" s="671" cm="1">
        <f t="array" ref="AG19">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9" s="671" cm="1">
        <f t="array" ref="AH19">IFERROR(SUMPRODUCT(MGK[[#This Row],[Maße]:[Elekronik]],TRANSPOSE($AV$8:$AV$16),TRANSPOSE($AW$8:$AW$16))/SUM(MGK[[#This Row],[Maße]:[Elekronik]]),0)</f>
        <v>4.5333333333333332</v>
      </c>
      <c r="AI19" s="671" cm="1">
        <f t="array" ref="AI19">IFERROR(SUMPRODUCT(MGK[[#This Row],[Maße]:[Elekronik]],TRANSPOSE($AX$8:$AX$16))/SUM(MGK[[#This Row],[Maße]:[Elekronik]]),0)</f>
        <v>6.666666666666667</v>
      </c>
      <c r="AJ19" s="671">
        <f>IFERROR(INDEX(MGKMHR[Invest],MATCH(MGK[[#This Row],[Lagerart]],MGKMHR[Bezeichnung],0))*ExchangeRate,0)</f>
        <v>30.6</v>
      </c>
      <c r="AK19" s="671">
        <f>IFERROR(MGK[[#This Row],[L-Invest]]*(1/INDEX(MGKMHR[AfA],MATCH(MGK[[#This Row],[Lagerart]],MGKMHR[Bezeichnung],0))+INDEX(MGKMHR[Verbrauchsmaterial],MATCH(MGK[[#This Row],[Lagerart]],MGKMHR[Bezeichnung],0))+INDEX(MGKMHR[Instandhaltung],MATCH(MGK[[#This Row],[Lagerart]],MGKMHR[Bezeichnung],0)))/(365*24),0)</f>
        <v>4.3547945205479459E-4</v>
      </c>
      <c r="AL19" s="671">
        <f>IFERROR(INDEX(MGKMHR[Strom],MATCH(MGK[[#This Row],[Lagerart]],MGKMHR[Bezeichnung],0))*INDEX(MGKMHR[Faktor],MATCH(MGK[[#This Row],[Lagerart]],MGKMHR[Bezeichnung],0)),0)</f>
        <v>5.4794520547945206E-3</v>
      </c>
      <c r="AM19" s="671">
        <f>IFERROR(INDEX(MGKMHR[Fläche],MATCH(MGK[[#This Row],[Lagerart]],MGKMHR[Bezeichnung],0)),0)</f>
        <v>0.5</v>
      </c>
      <c r="AN19" s="661">
        <f>IFERROR(INDEX(MGKMHR[Invest],MATCH(MGK[[#This Row],[Lagerbediengerät]],MGKMHR[Bezeichnung],0))*ExchangeRate,0)</f>
        <v>20000</v>
      </c>
      <c r="AO19" s="671">
        <f>IFERROR(MGK[[#This Row],[B-Invest]]*(1/INDEX(MGKMHR[AfA],MATCH(MGK[[#This Row],[Lagerbediengerät]],MGKMHR[Bezeichnung],0))+INDEX(MGKMHR[Verbrauchsmaterial],MATCH(MGK[[#This Row],[Lagerbediengerät]],MGKMHR[Bezeichnung],0))+INDEX(MGKMHR[Instandhaltung],MATCH(MGK[[#This Row],[Lagerbediengerät]],MGKMHR[Bezeichnung],0)))/(250*16*0.8),0)</f>
        <v>6.25</v>
      </c>
      <c r="AP19" s="671">
        <f>IFERROR(INDEX(MGKMHR[Strom],MATCH(MGK[[#This Row],[Lagerbediengerät]],MGKMHR[Bezeichnung],0))*INDEX(MGKMHR[Faktor],MATCH(MGK[[#This Row],[Lagerbediengerät]],MGKMHR[Bezeichnung],0)),0)</f>
        <v>9.6999999999999993</v>
      </c>
      <c r="AQ19" s="671">
        <f>IFERROR(INDEX(MGKMHR[Fläche],MATCH(MGK[[#This Row],[Lagerbediengerät]],MGKMHR[Bezeichnung],0)),0)</f>
        <v>0</v>
      </c>
      <c r="AR19" s="327"/>
      <c r="AS19" s="666" t="s">
        <v>996</v>
      </c>
      <c r="AT19" s="228">
        <v>29.28</v>
      </c>
      <c r="AU19" s="228">
        <v>15</v>
      </c>
      <c r="AV19" s="228">
        <v>6.8493150684931503E-3</v>
      </c>
      <c r="AW19" s="228">
        <v>1</v>
      </c>
      <c r="AX19" s="228">
        <v>0.625</v>
      </c>
      <c r="AY19" s="328">
        <v>0.02</v>
      </c>
      <c r="AZ19" s="328">
        <v>3.7999999999999999E-2</v>
      </c>
      <c r="BA19" s="328" t="s">
        <v>1063</v>
      </c>
      <c r="BB19" s="328">
        <v>0.2</v>
      </c>
      <c r="BD19" s="664" t="s">
        <v>82</v>
      </c>
      <c r="BE19" s="202">
        <f>AVERAGE(BF19:BG19)</f>
        <v>8</v>
      </c>
      <c r="BF19" s="239">
        <v>8</v>
      </c>
      <c r="BG19" s="239">
        <v>8</v>
      </c>
      <c r="BI19" s="660" t="s">
        <v>2326</v>
      </c>
      <c r="BJ19" s="660" t="s">
        <v>913</v>
      </c>
      <c r="BK19" s="661">
        <f>BK15^2</f>
        <v>1000000</v>
      </c>
      <c r="BN19" s="332" t="s">
        <v>992</v>
      </c>
    </row>
    <row r="20" spans="2:67">
      <c r="B20" s="671" t="str">
        <f>IF(Language="DE",MGK[[#This Row],[DE]],MGK[[#This Row],[EN]])</f>
        <v>Compound materials</v>
      </c>
      <c r="C20" s="228" t="s">
        <v>1009</v>
      </c>
      <c r="D20" s="228" t="s">
        <v>1085</v>
      </c>
      <c r="E20" s="228" t="s">
        <v>995</v>
      </c>
      <c r="F20" s="228" t="s">
        <v>1000</v>
      </c>
      <c r="G20" s="228" t="s">
        <v>995</v>
      </c>
      <c r="H20" s="228" t="s">
        <v>995</v>
      </c>
      <c r="I20" s="228" t="s">
        <v>1089</v>
      </c>
      <c r="J20" s="324" t="s">
        <v>2184</v>
      </c>
      <c r="K20" s="228">
        <v>4</v>
      </c>
      <c r="L20" s="325">
        <v>100</v>
      </c>
      <c r="M20" s="326">
        <v>1000</v>
      </c>
      <c r="N20" s="326"/>
      <c r="O20" s="326"/>
      <c r="P20" s="326">
        <v>10000</v>
      </c>
      <c r="Q20" s="326"/>
      <c r="R20" s="324">
        <v>1</v>
      </c>
      <c r="S20" s="673" t="str">
        <f>IFERROR(INDEX(MGKMHR[Gerät],MATCH(MGK[[#This Row],[Lagerart]],MGKMHR[Bezeichnung],0)),0)</f>
        <v>E-Stapler</v>
      </c>
      <c r="T20" s="674" cm="1">
        <f t="array" ref="T20">IFERROR(IF(MGK[[#This Row],[Bestellaufwand]]="gering",0.25, IF(MGK[[#This Row],[Bestellaufwand]]="mittel",1.5,IF(MGK[[#This Row],[Bestellaufwand]]="hoch",8,0))),0)
+IFERROR(IF(MGK[[#This Row],[Bestellaufwand]]="gering",0.25, IF(MGK[[#This Row],[Bestellaufwand]]="mittel",0.5,IF(MGK[[#This Row],[Bestellaufwand]]="hoch",1,0)))*OrdersPerYear,0)</f>
        <v>7.5</v>
      </c>
      <c r="U20" s="671">
        <f>SUM(MGK[[#This Row],[Maße]:[Elekronik]])</f>
        <v>6.75</v>
      </c>
      <c r="V20" s="675" cm="1">
        <f t="array" ref="V20">IFERROR(INDEX(MGKMHR[Handling],MATCH(MGK[[#This Row],[Lagerart]],MGKMHR[Bezeichnung],0))
*(OrdersPerYear+52/MGK[[#This Row],[Lagerreichweite]])*IF(MGK[[#This Row],[Handling]]="gering",0.25,IF(MGK[[#This Row],[Handling]]="hoch",2,1)),0)</f>
        <v>5</v>
      </c>
      <c r="W20" s="676" cm="1">
        <f t="array" ref="W2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20" s="660" cm="1">
        <f t="array" ref="X2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20" s="660" cm="1">
        <f t="array" ref="Y2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20" s="660" cm="1">
        <f t="array" ref="Z20">OrdersPerYear*IF(MGK[[#This Row],[Prüfaufwand]]="gering",0.25,IF(MGK[[#This Row],[Prüfaufwand]]="mittel",0.5,IF(MGK[[#This Row],[Prüfaufwand]]="hoch",1,0)))
*IF(MGK[[#This Row],[Spezifiaktion]]="Zusammenbau",1,0)*1</f>
        <v>0</v>
      </c>
      <c r="AA20" s="660" cm="1">
        <f t="array" ref="AA20">OrdersPerYear*IF(MGK[[#This Row],[Prüfaufwand]]="hoch",1,0)
*IF(MGK[[#This Row],[Spezifiaktion]]="Zusammenbau",1,0)*0.25</f>
        <v>0</v>
      </c>
      <c r="AB20" s="660" cm="1">
        <f t="array" ref="AB20">OrdersPerYear*IF(MGK[[#This Row],[Prüfaufwand]]="hoch",1,0)
*IF(MGK[[#This Row],[Spezifiaktion]]="Zusammenbau",1,0)*0.25</f>
        <v>0</v>
      </c>
      <c r="AC20" s="660" cm="1">
        <f t="array" ref="AC20">OrdersPerYear*IF(MGK[[#This Row],[Prüfaufwand]]="mittel",0.5,IF(MGK[[#This Row],[Prüfaufwand]]="hoch",1,0))
*IF(MGK[[#This Row],[Spezifiaktion]]="Zusammenbau",1,0)*1.5</f>
        <v>0</v>
      </c>
      <c r="AD20" s="660" cm="1">
        <f t="array" ref="AD20">OrdersPerYear*IF(MGK[[#This Row],[Prüfaufwand]]="hoch",1,0)
*IF(MGK[[#This Row],[Spezifiaktion]]="Zusammenbau",1,0)*0.25</f>
        <v>0</v>
      </c>
      <c r="AE20" s="660" cm="1">
        <f t="array" ref="AE20">OrdersPerYear*IF(MGK[[#This Row],[Bestellaufwand]]="gering",0.15,IF(MGK[[#This Row],[Bestellaufwand]]="mittel",0.5,IF(MGK[[#This Row],[Prüfaufwand]]="hoch",1,0)))
*IF(MGK[[#This Row],[Spezifiaktion]]="Elektronik",1,0)*1</f>
        <v>0</v>
      </c>
      <c r="AF20" s="661" cm="1">
        <f t="array" ref="AF20">IFERROR(SUMPRODUCT(MGK[[#This Row],[Maße]:[Elekronik]],TRANSPOSE($AT$8:$AT$16))*ExchangeRate/SUM(MGK[[#This Row],[Maße]:[Elekronik]]),0)</f>
        <v>68866.666666666672</v>
      </c>
      <c r="AG20" s="671" cm="1">
        <f t="array" ref="AG20">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0" s="671" cm="1">
        <f t="array" ref="AH20">IFERROR(SUMPRODUCT(MGK[[#This Row],[Maße]:[Elekronik]],TRANSPOSE($AV$8:$AV$16),TRANSPOSE($AW$8:$AW$16))/SUM(MGK[[#This Row],[Maße]:[Elekronik]]),0)</f>
        <v>4.5333333333333332</v>
      </c>
      <c r="AI20" s="671" cm="1">
        <f t="array" ref="AI20">IFERROR(SUMPRODUCT(MGK[[#This Row],[Maße]:[Elekronik]],TRANSPOSE($AX$8:$AX$16))/SUM(MGK[[#This Row],[Maße]:[Elekronik]]),0)</f>
        <v>6.666666666666667</v>
      </c>
      <c r="AJ20" s="671">
        <f>IFERROR(INDEX(MGKMHR[Invest],MATCH(MGK[[#This Row],[Lagerart]],MGKMHR[Bezeichnung],0))*ExchangeRate,0)</f>
        <v>30.6</v>
      </c>
      <c r="AK20" s="671">
        <f>IFERROR(MGK[[#This Row],[L-Invest]]*(1/INDEX(MGKMHR[AfA],MATCH(MGK[[#This Row],[Lagerart]],MGKMHR[Bezeichnung],0))+INDEX(MGKMHR[Verbrauchsmaterial],MATCH(MGK[[#This Row],[Lagerart]],MGKMHR[Bezeichnung],0))+INDEX(MGKMHR[Instandhaltung],MATCH(MGK[[#This Row],[Lagerart]],MGKMHR[Bezeichnung],0)))/(365*24),0)</f>
        <v>4.3547945205479459E-4</v>
      </c>
      <c r="AL20" s="671">
        <f>IFERROR(INDEX(MGKMHR[Strom],MATCH(MGK[[#This Row],[Lagerart]],MGKMHR[Bezeichnung],0))*INDEX(MGKMHR[Faktor],MATCH(MGK[[#This Row],[Lagerart]],MGKMHR[Bezeichnung],0)),0)</f>
        <v>5.4794520547945206E-3</v>
      </c>
      <c r="AM20" s="671">
        <f>IFERROR(INDEX(MGKMHR[Fläche],MATCH(MGK[[#This Row],[Lagerart]],MGKMHR[Bezeichnung],0)),0)</f>
        <v>0.5</v>
      </c>
      <c r="AN20" s="661">
        <f>IFERROR(INDEX(MGKMHR[Invest],MATCH(MGK[[#This Row],[Lagerbediengerät]],MGKMHR[Bezeichnung],0))*ExchangeRate,0)</f>
        <v>20000</v>
      </c>
      <c r="AO20" s="671">
        <f>IFERROR(MGK[[#This Row],[B-Invest]]*(1/INDEX(MGKMHR[AfA],MATCH(MGK[[#This Row],[Lagerbediengerät]],MGKMHR[Bezeichnung],0))+INDEX(MGKMHR[Verbrauchsmaterial],MATCH(MGK[[#This Row],[Lagerbediengerät]],MGKMHR[Bezeichnung],0))+INDEX(MGKMHR[Instandhaltung],MATCH(MGK[[#This Row],[Lagerbediengerät]],MGKMHR[Bezeichnung],0)))/(250*16*0.8),0)</f>
        <v>6.25</v>
      </c>
      <c r="AP20" s="671">
        <f>IFERROR(INDEX(MGKMHR[Strom],MATCH(MGK[[#This Row],[Lagerbediengerät]],MGKMHR[Bezeichnung],0))*INDEX(MGKMHR[Faktor],MATCH(MGK[[#This Row],[Lagerbediengerät]],MGKMHR[Bezeichnung],0)),0)</f>
        <v>9.6999999999999993</v>
      </c>
      <c r="AQ20" s="671">
        <f>IFERROR(INDEX(MGKMHR[Fläche],MATCH(MGK[[#This Row],[Lagerbediengerät]],MGKMHR[Bezeichnung],0)),0)</f>
        <v>0</v>
      </c>
      <c r="AR20" s="327"/>
      <c r="AS20" s="666" t="s">
        <v>1021</v>
      </c>
      <c r="AT20" s="228">
        <v>43.5</v>
      </c>
      <c r="AU20" s="228">
        <v>15</v>
      </c>
      <c r="AV20" s="228">
        <v>4.8219178082191784E-3</v>
      </c>
      <c r="AW20" s="228">
        <v>1</v>
      </c>
      <c r="AX20" s="228">
        <v>0.44000000000000006</v>
      </c>
      <c r="AY20" s="328">
        <v>0.02</v>
      </c>
      <c r="AZ20" s="328">
        <v>3.7999999999999999E-2</v>
      </c>
      <c r="BA20" s="328" t="s">
        <v>1064</v>
      </c>
      <c r="BB20" s="328">
        <v>0.05</v>
      </c>
      <c r="BD20" s="664" t="s">
        <v>87</v>
      </c>
      <c r="BE20" s="202">
        <f>AVERAGE(BF20:BG20)</f>
        <v>5</v>
      </c>
      <c r="BF20" s="239">
        <v>5</v>
      </c>
      <c r="BG20" s="239">
        <v>5</v>
      </c>
      <c r="BI20" s="660" t="s">
        <v>2316</v>
      </c>
      <c r="BJ20" s="660" t="s">
        <v>913</v>
      </c>
      <c r="BK20" s="661">
        <f>BK16^2</f>
        <v>10000</v>
      </c>
      <c r="BN20" s="332" t="s">
        <v>1002</v>
      </c>
    </row>
    <row r="21" spans="2:67">
      <c r="B21" s="671" t="str">
        <f>IF(Language="DE",MGK[[#This Row],[DE]],MGK[[#This Row],[EN]])</f>
        <v>Consumable materials liquid</v>
      </c>
      <c r="C21" s="228" t="s">
        <v>1010</v>
      </c>
      <c r="D21" s="228" t="s">
        <v>1086</v>
      </c>
      <c r="E21" s="228" t="s">
        <v>995</v>
      </c>
      <c r="F21" s="228" t="s">
        <v>1021</v>
      </c>
      <c r="G21" s="228" t="s">
        <v>995</v>
      </c>
      <c r="H21" s="228" t="s">
        <v>991</v>
      </c>
      <c r="I21" s="228" t="s">
        <v>993</v>
      </c>
      <c r="J21" s="324" t="s">
        <v>2184</v>
      </c>
      <c r="K21" s="228">
        <v>4</v>
      </c>
      <c r="L21" s="325">
        <v>1000</v>
      </c>
      <c r="M21" s="326">
        <v>1000</v>
      </c>
      <c r="N21" s="326">
        <v>1000</v>
      </c>
      <c r="O21" s="326"/>
      <c r="P21" s="326"/>
      <c r="Q21" s="326"/>
      <c r="R21" s="324">
        <v>1</v>
      </c>
      <c r="S21" s="673" t="str">
        <f>IFERROR(INDEX(MGKMHR[Gerät],MATCH(MGK[[#This Row],[Lagerart]],MGKMHR[Bezeichnung],0)),0)</f>
        <v>Niederhubkommisionierer</v>
      </c>
      <c r="T21" s="674" cm="1">
        <f t="array" ref="T21">IFERROR(IF(MGK[[#This Row],[Bestellaufwand]]="gering",0.25, IF(MGK[[#This Row],[Bestellaufwand]]="mittel",1.5,IF(MGK[[#This Row],[Bestellaufwand]]="hoch",8,0))),0)
+IFERROR(IF(MGK[[#This Row],[Bestellaufwand]]="gering",0.25, IF(MGK[[#This Row],[Bestellaufwand]]="mittel",0.5,IF(MGK[[#This Row],[Bestellaufwand]]="hoch",1,0)))*OrdersPerYear,0)</f>
        <v>7.5</v>
      </c>
      <c r="U21" s="671">
        <f>SUM(MGK[[#This Row],[Maße]:[Elekronik]])</f>
        <v>3.375</v>
      </c>
      <c r="V21" s="675" cm="1">
        <f t="array" ref="V21">IFERROR(INDEX(MGKMHR[Handling],MATCH(MGK[[#This Row],[Lagerart]],MGKMHR[Bezeichnung],0))
*(OrdersPerYear+52/MGK[[#This Row],[Lagerreichweite]])*IF(MGK[[#This Row],[Handling]]="gering",0.25,IF(MGK[[#This Row],[Handling]]="hoch",2,1)),0)</f>
        <v>1.25</v>
      </c>
      <c r="W21" s="676" cm="1">
        <f t="array" ref="W2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1" s="660" cm="1">
        <f t="array" ref="X2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1" s="660" cm="1">
        <f t="array" ref="Y2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1" s="660" cm="1">
        <f t="array" ref="Z21">OrdersPerYear*IF(MGK[[#This Row],[Prüfaufwand]]="gering",0.25,IF(MGK[[#This Row],[Prüfaufwand]]="mittel",0.5,IF(MGK[[#This Row],[Prüfaufwand]]="hoch",1,0)))
*IF(MGK[[#This Row],[Spezifiaktion]]="Zusammenbau",1,0)*1</f>
        <v>0</v>
      </c>
      <c r="AA21" s="660" cm="1">
        <f t="array" ref="AA21">OrdersPerYear*IF(MGK[[#This Row],[Prüfaufwand]]="hoch",1,0)
*IF(MGK[[#This Row],[Spezifiaktion]]="Zusammenbau",1,0)*0.25</f>
        <v>0</v>
      </c>
      <c r="AB21" s="660" cm="1">
        <f t="array" ref="AB21">OrdersPerYear*IF(MGK[[#This Row],[Prüfaufwand]]="hoch",1,0)
*IF(MGK[[#This Row],[Spezifiaktion]]="Zusammenbau",1,0)*0.25</f>
        <v>0</v>
      </c>
      <c r="AC21" s="660" cm="1">
        <f t="array" ref="AC21">OrdersPerYear*IF(MGK[[#This Row],[Prüfaufwand]]="mittel",0.5,IF(MGK[[#This Row],[Prüfaufwand]]="hoch",1,0))
*IF(MGK[[#This Row],[Spezifiaktion]]="Zusammenbau",1,0)*1.5</f>
        <v>0</v>
      </c>
      <c r="AD21" s="660" cm="1">
        <f t="array" ref="AD21">OrdersPerYear*IF(MGK[[#This Row],[Prüfaufwand]]="hoch",1,0)
*IF(MGK[[#This Row],[Spezifiaktion]]="Zusammenbau",1,0)*0.25</f>
        <v>0</v>
      </c>
      <c r="AE21" s="660" cm="1">
        <f t="array" ref="AE21">OrdersPerYear*IF(MGK[[#This Row],[Bestellaufwand]]="gering",0.15,IF(MGK[[#This Row],[Bestellaufwand]]="mittel",0.5,IF(MGK[[#This Row],[Prüfaufwand]]="hoch",1,0)))
*IF(MGK[[#This Row],[Spezifiaktion]]="Elektronik",1,0)*1</f>
        <v>0</v>
      </c>
      <c r="AF21" s="661" cm="1">
        <f t="array" ref="AF21">IFERROR(SUMPRODUCT(MGK[[#This Row],[Maße]:[Elekronik]],TRANSPOSE($AT$8:$AT$16))*ExchangeRate/SUM(MGK[[#This Row],[Maße]:[Elekronik]]),0)</f>
        <v>68866.666666666672</v>
      </c>
      <c r="AG21" s="671" cm="1">
        <f t="array" ref="AG2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1" s="671" cm="1">
        <f t="array" ref="AH21">IFERROR(SUMPRODUCT(MGK[[#This Row],[Maße]:[Elekronik]],TRANSPOSE($AV$8:$AV$16),TRANSPOSE($AW$8:$AW$16))/SUM(MGK[[#This Row],[Maße]:[Elekronik]]),0)</f>
        <v>4.5333333333333332</v>
      </c>
      <c r="AI21" s="671" cm="1">
        <f t="array" ref="AI21">IFERROR(SUMPRODUCT(MGK[[#This Row],[Maße]:[Elekronik]],TRANSPOSE($AX$8:$AX$16))/SUM(MGK[[#This Row],[Maße]:[Elekronik]]),0)</f>
        <v>6.666666666666667</v>
      </c>
      <c r="AJ21" s="671">
        <f>IFERROR(INDEX(MGKMHR[Invest],MATCH(MGK[[#This Row],[Lagerart]],MGKMHR[Bezeichnung],0))*ExchangeRate,0)</f>
        <v>43.5</v>
      </c>
      <c r="AK21" s="671">
        <f>IFERROR(MGK[[#This Row],[L-Invest]]*(1/INDEX(MGKMHR[AfA],MATCH(MGK[[#This Row],[Lagerart]],MGKMHR[Bezeichnung],0))+INDEX(MGKMHR[Verbrauchsmaterial],MATCH(MGK[[#This Row],[Lagerart]],MGKMHR[Bezeichnung],0))+INDEX(MGKMHR[Instandhaltung],MATCH(MGK[[#This Row],[Lagerart]],MGKMHR[Bezeichnung],0)))/(365*24),0)</f>
        <v>6.1906392694063925E-4</v>
      </c>
      <c r="AL21" s="671">
        <f>IFERROR(INDEX(MGKMHR[Strom],MATCH(MGK[[#This Row],[Lagerart]],MGKMHR[Bezeichnung],0))*INDEX(MGKMHR[Faktor],MATCH(MGK[[#This Row],[Lagerart]],MGKMHR[Bezeichnung],0)),0)</f>
        <v>4.8219178082191784E-3</v>
      </c>
      <c r="AM21" s="671">
        <f>IFERROR(INDEX(MGKMHR[Fläche],MATCH(MGK[[#This Row],[Lagerart]],MGKMHR[Bezeichnung],0)),0)</f>
        <v>0.44000000000000006</v>
      </c>
      <c r="AN21" s="661">
        <f>IFERROR(INDEX(MGKMHR[Invest],MATCH(MGK[[#This Row],[Lagerbediengerät]],MGKMHR[Bezeichnung],0))*ExchangeRate,0)</f>
        <v>2000</v>
      </c>
      <c r="AO21" s="671">
        <f>IFERROR(MGK[[#This Row],[B-Invest]]*(1/INDEX(MGKMHR[AfA],MATCH(MGK[[#This Row],[Lagerbediengerät]],MGKMHR[Bezeichnung],0))+INDEX(MGKMHR[Verbrauchsmaterial],MATCH(MGK[[#This Row],[Lagerbediengerät]],MGKMHR[Bezeichnung],0))+INDEX(MGKMHR[Instandhaltung],MATCH(MGK[[#This Row],[Lagerbediengerät]],MGKMHR[Bezeichnung],0)))/(250*16*0.8),0)</f>
        <v>0.625</v>
      </c>
      <c r="AP21" s="671">
        <f>IFERROR(INDEX(MGKMHR[Strom],MATCH(MGK[[#This Row],[Lagerbediengerät]],MGKMHR[Bezeichnung],0))*INDEX(MGKMHR[Faktor],MATCH(MGK[[#This Row],[Lagerbediengerät]],MGKMHR[Bezeichnung],0)),0)</f>
        <v>1</v>
      </c>
      <c r="AQ21" s="671">
        <f>IFERROR(INDEX(MGKMHR[Fläche],MATCH(MGK[[#This Row],[Lagerbediengerät]],MGKMHR[Bezeichnung],0)),0)</f>
        <v>0</v>
      </c>
      <c r="AR21" s="327"/>
      <c r="AS21" s="666" t="s">
        <v>992</v>
      </c>
      <c r="AT21" s="228">
        <v>500</v>
      </c>
      <c r="AU21" s="228">
        <v>15</v>
      </c>
      <c r="AV21" s="228">
        <v>2.1917808219178079E-2</v>
      </c>
      <c r="AW21" s="228">
        <v>1</v>
      </c>
      <c r="AX21" s="228">
        <v>2</v>
      </c>
      <c r="AY21" s="328">
        <v>0.02</v>
      </c>
      <c r="AZ21" s="328">
        <v>3.7999999999999999E-2</v>
      </c>
      <c r="BA21" s="328" t="s">
        <v>1063</v>
      </c>
      <c r="BB21" s="328">
        <v>0.2</v>
      </c>
      <c r="BD21" s="664" t="s">
        <v>88</v>
      </c>
      <c r="BE21" s="202">
        <f>AVERAGE(BF21:BG21)</f>
        <v>1</v>
      </c>
      <c r="BF21" s="239">
        <v>1</v>
      </c>
      <c r="BG21" s="239">
        <v>1</v>
      </c>
      <c r="BI21" s="660" t="s">
        <v>2315</v>
      </c>
      <c r="BJ21" s="660" t="s">
        <v>913</v>
      </c>
      <c r="BK21" s="661">
        <f>BK17^2</f>
        <v>100</v>
      </c>
      <c r="BN21" s="332" t="s">
        <v>998</v>
      </c>
    </row>
    <row r="22" spans="2:67">
      <c r="B22" s="671" t="str">
        <f>IF(Language="DE",MGK[[#This Row],[DE]],MGK[[#This Row],[EN]])</f>
        <v>Consumable materials solid</v>
      </c>
      <c r="C22" s="228" t="s">
        <v>1011</v>
      </c>
      <c r="D22" s="228" t="s">
        <v>1087</v>
      </c>
      <c r="E22" s="228" t="s">
        <v>995</v>
      </c>
      <c r="F22" s="228" t="s">
        <v>1021</v>
      </c>
      <c r="G22" s="228" t="s">
        <v>995</v>
      </c>
      <c r="H22" s="228" t="s">
        <v>991</v>
      </c>
      <c r="I22" s="228" t="s">
        <v>993</v>
      </c>
      <c r="J22" s="324" t="s">
        <v>2184</v>
      </c>
      <c r="K22" s="228">
        <v>4</v>
      </c>
      <c r="L22" s="325">
        <v>10000</v>
      </c>
      <c r="M22" s="326">
        <v>10000</v>
      </c>
      <c r="N22" s="326"/>
      <c r="O22" s="326"/>
      <c r="P22" s="326"/>
      <c r="Q22" s="326"/>
      <c r="R22" s="324">
        <v>1</v>
      </c>
      <c r="S22" s="673" t="str">
        <f>IFERROR(INDEX(MGKMHR[Gerät],MATCH(MGK[[#This Row],[Lagerart]],MGKMHR[Bezeichnung],0)),0)</f>
        <v>Niederhubkommisionierer</v>
      </c>
      <c r="T22" s="674" cm="1">
        <f t="array" ref="T22">IFERROR(IF(MGK[[#This Row],[Bestellaufwand]]="gering",0.25, IF(MGK[[#This Row],[Bestellaufwand]]="mittel",1.5,IF(MGK[[#This Row],[Bestellaufwand]]="hoch",8,0))),0)
+IFERROR(IF(MGK[[#This Row],[Bestellaufwand]]="gering",0.25, IF(MGK[[#This Row],[Bestellaufwand]]="mittel",0.5,IF(MGK[[#This Row],[Bestellaufwand]]="hoch",1,0)))*OrdersPerYear,0)</f>
        <v>7.5</v>
      </c>
      <c r="U22" s="671">
        <f>SUM(MGK[[#This Row],[Maße]:[Elekronik]])</f>
        <v>3.375</v>
      </c>
      <c r="V22" s="675" cm="1">
        <f t="array" ref="V22">IFERROR(INDEX(MGKMHR[Handling],MATCH(MGK[[#This Row],[Lagerart]],MGKMHR[Bezeichnung],0))
*(OrdersPerYear+52/MGK[[#This Row],[Lagerreichweite]])*IF(MGK[[#This Row],[Handling]]="gering",0.25,IF(MGK[[#This Row],[Handling]]="hoch",2,1)),0)</f>
        <v>1.25</v>
      </c>
      <c r="W22" s="676" cm="1">
        <f t="array" ref="W2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2" s="660" cm="1">
        <f t="array" ref="X2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2" s="660" cm="1">
        <f t="array" ref="Y2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2" s="660" cm="1">
        <f t="array" ref="Z22">OrdersPerYear*IF(MGK[[#This Row],[Prüfaufwand]]="gering",0.25,IF(MGK[[#This Row],[Prüfaufwand]]="mittel",0.5,IF(MGK[[#This Row],[Prüfaufwand]]="hoch",1,0)))
*IF(MGK[[#This Row],[Spezifiaktion]]="Zusammenbau",1,0)*1</f>
        <v>0</v>
      </c>
      <c r="AA22" s="660" cm="1">
        <f t="array" ref="AA22">OrdersPerYear*IF(MGK[[#This Row],[Prüfaufwand]]="hoch",1,0)
*IF(MGK[[#This Row],[Spezifiaktion]]="Zusammenbau",1,0)*0.25</f>
        <v>0</v>
      </c>
      <c r="AB22" s="660" cm="1">
        <f t="array" ref="AB22">OrdersPerYear*IF(MGK[[#This Row],[Prüfaufwand]]="hoch",1,0)
*IF(MGK[[#This Row],[Spezifiaktion]]="Zusammenbau",1,0)*0.25</f>
        <v>0</v>
      </c>
      <c r="AC22" s="660" cm="1">
        <f t="array" ref="AC22">OrdersPerYear*IF(MGK[[#This Row],[Prüfaufwand]]="mittel",0.5,IF(MGK[[#This Row],[Prüfaufwand]]="hoch",1,0))
*IF(MGK[[#This Row],[Spezifiaktion]]="Zusammenbau",1,0)*1.5</f>
        <v>0</v>
      </c>
      <c r="AD22" s="660" cm="1">
        <f t="array" ref="AD22">OrdersPerYear*IF(MGK[[#This Row],[Prüfaufwand]]="hoch",1,0)
*IF(MGK[[#This Row],[Spezifiaktion]]="Zusammenbau",1,0)*0.25</f>
        <v>0</v>
      </c>
      <c r="AE22" s="660" cm="1">
        <f t="array" ref="AE22">OrdersPerYear*IF(MGK[[#This Row],[Bestellaufwand]]="gering",0.15,IF(MGK[[#This Row],[Bestellaufwand]]="mittel",0.5,IF(MGK[[#This Row],[Prüfaufwand]]="hoch",1,0)))
*IF(MGK[[#This Row],[Spezifiaktion]]="Elektronik",1,0)*1</f>
        <v>0</v>
      </c>
      <c r="AF22" s="661" cm="1">
        <f t="array" ref="AF22">IFERROR(SUMPRODUCT(MGK[[#This Row],[Maße]:[Elekronik]],TRANSPOSE($AT$8:$AT$16))*ExchangeRate/SUM(MGK[[#This Row],[Maße]:[Elekronik]]),0)</f>
        <v>68866.666666666672</v>
      </c>
      <c r="AG22" s="671" cm="1">
        <f t="array" ref="AG22">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2" s="671" cm="1">
        <f t="array" ref="AH22">IFERROR(SUMPRODUCT(MGK[[#This Row],[Maße]:[Elekronik]],TRANSPOSE($AV$8:$AV$16),TRANSPOSE($AW$8:$AW$16))/SUM(MGK[[#This Row],[Maße]:[Elekronik]]),0)</f>
        <v>4.5333333333333332</v>
      </c>
      <c r="AI22" s="671" cm="1">
        <f t="array" ref="AI22">IFERROR(SUMPRODUCT(MGK[[#This Row],[Maße]:[Elekronik]],TRANSPOSE($AX$8:$AX$16))/SUM(MGK[[#This Row],[Maße]:[Elekronik]]),0)</f>
        <v>6.666666666666667</v>
      </c>
      <c r="AJ22" s="671">
        <f>IFERROR(INDEX(MGKMHR[Invest],MATCH(MGK[[#This Row],[Lagerart]],MGKMHR[Bezeichnung],0))*ExchangeRate,0)</f>
        <v>43.5</v>
      </c>
      <c r="AK22" s="671">
        <f>IFERROR(MGK[[#This Row],[L-Invest]]*(1/INDEX(MGKMHR[AfA],MATCH(MGK[[#This Row],[Lagerart]],MGKMHR[Bezeichnung],0))+INDEX(MGKMHR[Verbrauchsmaterial],MATCH(MGK[[#This Row],[Lagerart]],MGKMHR[Bezeichnung],0))+INDEX(MGKMHR[Instandhaltung],MATCH(MGK[[#This Row],[Lagerart]],MGKMHR[Bezeichnung],0)))/(365*24),0)</f>
        <v>6.1906392694063925E-4</v>
      </c>
      <c r="AL22" s="671">
        <f>IFERROR(INDEX(MGKMHR[Strom],MATCH(MGK[[#This Row],[Lagerart]],MGKMHR[Bezeichnung],0))*INDEX(MGKMHR[Faktor],MATCH(MGK[[#This Row],[Lagerart]],MGKMHR[Bezeichnung],0)),0)</f>
        <v>4.8219178082191784E-3</v>
      </c>
      <c r="AM22" s="671">
        <f>IFERROR(INDEX(MGKMHR[Fläche],MATCH(MGK[[#This Row],[Lagerart]],MGKMHR[Bezeichnung],0)),0)</f>
        <v>0.44000000000000006</v>
      </c>
      <c r="AN22" s="661">
        <f>IFERROR(INDEX(MGKMHR[Invest],MATCH(MGK[[#This Row],[Lagerbediengerät]],MGKMHR[Bezeichnung],0))*ExchangeRate,0)</f>
        <v>2000</v>
      </c>
      <c r="AO22" s="671">
        <f>IFERROR(MGK[[#This Row],[B-Invest]]*(1/INDEX(MGKMHR[AfA],MATCH(MGK[[#This Row],[Lagerbediengerät]],MGKMHR[Bezeichnung],0))+INDEX(MGKMHR[Verbrauchsmaterial],MATCH(MGK[[#This Row],[Lagerbediengerät]],MGKMHR[Bezeichnung],0))+INDEX(MGKMHR[Instandhaltung],MATCH(MGK[[#This Row],[Lagerbediengerät]],MGKMHR[Bezeichnung],0)))/(250*16*0.8),0)</f>
        <v>0.625</v>
      </c>
      <c r="AP22" s="671">
        <f>IFERROR(INDEX(MGKMHR[Strom],MATCH(MGK[[#This Row],[Lagerbediengerät]],MGKMHR[Bezeichnung],0))*INDEX(MGKMHR[Faktor],MATCH(MGK[[#This Row],[Lagerbediengerät]],MGKMHR[Bezeichnung],0)),0)</f>
        <v>1</v>
      </c>
      <c r="AQ22" s="671">
        <f>IFERROR(INDEX(MGKMHR[Fläche],MATCH(MGK[[#This Row],[Lagerbediengerät]],MGKMHR[Bezeichnung],0)),0)</f>
        <v>0</v>
      </c>
      <c r="AR22" s="327"/>
      <c r="AS22" s="666" t="s">
        <v>1002</v>
      </c>
      <c r="AT22" s="228">
        <v>40000</v>
      </c>
      <c r="AU22" s="228">
        <v>15</v>
      </c>
      <c r="AV22" s="228">
        <v>3.2876712328767127E-2</v>
      </c>
      <c r="AW22" s="228">
        <v>1</v>
      </c>
      <c r="AX22" s="228">
        <v>3</v>
      </c>
      <c r="AY22" s="328">
        <v>5.0000000000000001E-3</v>
      </c>
      <c r="AZ22" s="328">
        <v>0.01</v>
      </c>
      <c r="BA22" s="328" t="s">
        <v>1064</v>
      </c>
      <c r="BB22" s="328">
        <v>4.1666666666666666E-3</v>
      </c>
      <c r="BD22" s="34"/>
      <c r="BE22" s="4"/>
      <c r="BG22" s="5"/>
      <c r="BI22" s="660" t="s">
        <v>913</v>
      </c>
      <c r="BJ22" s="660" t="s">
        <v>913</v>
      </c>
      <c r="BK22" s="661">
        <f>BK18^2</f>
        <v>1</v>
      </c>
    </row>
    <row r="23" spans="2:67" ht="13.5" thickBot="1">
      <c r="B23" s="671" t="str">
        <f>IF(Language="DE",MGK[[#This Row],[DE]],MGK[[#This Row],[EN]])</f>
        <v>Paper &amp; Foils</v>
      </c>
      <c r="C23" s="228" t="s">
        <v>1012</v>
      </c>
      <c r="D23" s="228" t="s">
        <v>1088</v>
      </c>
      <c r="E23" s="228" t="s">
        <v>995</v>
      </c>
      <c r="F23" s="228" t="s">
        <v>1000</v>
      </c>
      <c r="G23" s="228" t="s">
        <v>995</v>
      </c>
      <c r="H23" s="228" t="s">
        <v>991</v>
      </c>
      <c r="I23" s="228" t="s">
        <v>1089</v>
      </c>
      <c r="J23" s="324" t="s">
        <v>2184</v>
      </c>
      <c r="K23" s="228">
        <v>4</v>
      </c>
      <c r="L23" s="325">
        <v>10000</v>
      </c>
      <c r="M23" s="326">
        <v>1000</v>
      </c>
      <c r="N23" s="326"/>
      <c r="O23" s="326"/>
      <c r="P23" s="326">
        <v>25000</v>
      </c>
      <c r="Q23" s="326"/>
      <c r="R23" s="324">
        <v>5</v>
      </c>
      <c r="S23" s="673" t="str">
        <f>IFERROR(INDEX(MGKMHR[Gerät],MATCH(MGK[[#This Row],[Lagerart]],MGKMHR[Bezeichnung],0)),0)</f>
        <v>E-Stapler</v>
      </c>
      <c r="T23" s="674" cm="1">
        <f t="array" ref="T23">IFERROR(IF(MGK[[#This Row],[Bestellaufwand]]="gering",0.25, IF(MGK[[#This Row],[Bestellaufwand]]="mittel",1.5,IF(MGK[[#This Row],[Bestellaufwand]]="hoch",8,0))),0)
+IFERROR(IF(MGK[[#This Row],[Bestellaufwand]]="gering",0.25, IF(MGK[[#This Row],[Bestellaufwand]]="mittel",0.5,IF(MGK[[#This Row],[Bestellaufwand]]="hoch",1,0)))*OrdersPerYear,0)</f>
        <v>7.5</v>
      </c>
      <c r="U23" s="671">
        <f>SUM(MGK[[#This Row],[Maße]:[Elekronik]])</f>
        <v>3.375</v>
      </c>
      <c r="V23" s="675" cm="1">
        <f t="array" ref="V23">IFERROR(INDEX(MGKMHR[Handling],MATCH(MGK[[#This Row],[Lagerart]],MGKMHR[Bezeichnung],0))
*(OrdersPerYear+52/MGK[[#This Row],[Lagerreichweite]])*IF(MGK[[#This Row],[Handling]]="gering",0.25,IF(MGK[[#This Row],[Handling]]="hoch",2,1)),0)</f>
        <v>5</v>
      </c>
      <c r="W23" s="676" cm="1">
        <f t="array" ref="W2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3" s="660" cm="1">
        <f t="array" ref="X2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3" s="660" cm="1">
        <f t="array" ref="Y2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3" s="660" cm="1">
        <f t="array" ref="Z23">OrdersPerYear*IF(MGK[[#This Row],[Prüfaufwand]]="gering",0.25,IF(MGK[[#This Row],[Prüfaufwand]]="mittel",0.5,IF(MGK[[#This Row],[Prüfaufwand]]="hoch",1,0)))
*IF(MGK[[#This Row],[Spezifiaktion]]="Zusammenbau",1,0)*1</f>
        <v>0</v>
      </c>
      <c r="AA23" s="660" cm="1">
        <f t="array" ref="AA23">OrdersPerYear*IF(MGK[[#This Row],[Prüfaufwand]]="hoch",1,0)
*IF(MGK[[#This Row],[Spezifiaktion]]="Zusammenbau",1,0)*0.25</f>
        <v>0</v>
      </c>
      <c r="AB23" s="660" cm="1">
        <f t="array" ref="AB23">OrdersPerYear*IF(MGK[[#This Row],[Prüfaufwand]]="hoch",1,0)
*IF(MGK[[#This Row],[Spezifiaktion]]="Zusammenbau",1,0)*0.25</f>
        <v>0</v>
      </c>
      <c r="AC23" s="660" cm="1">
        <f t="array" ref="AC23">OrdersPerYear*IF(MGK[[#This Row],[Prüfaufwand]]="mittel",0.5,IF(MGK[[#This Row],[Prüfaufwand]]="hoch",1,0))
*IF(MGK[[#This Row],[Spezifiaktion]]="Zusammenbau",1,0)*1.5</f>
        <v>0</v>
      </c>
      <c r="AD23" s="660" cm="1">
        <f t="array" ref="AD23">OrdersPerYear*IF(MGK[[#This Row],[Prüfaufwand]]="hoch",1,0)
*IF(MGK[[#This Row],[Spezifiaktion]]="Zusammenbau",1,0)*0.25</f>
        <v>0</v>
      </c>
      <c r="AE23" s="660" cm="1">
        <f t="array" ref="AE23">OrdersPerYear*IF(MGK[[#This Row],[Bestellaufwand]]="gering",0.15,IF(MGK[[#This Row],[Bestellaufwand]]="mittel",0.5,IF(MGK[[#This Row],[Prüfaufwand]]="hoch",1,0)))
*IF(MGK[[#This Row],[Spezifiaktion]]="Elektronik",1,0)*1</f>
        <v>0</v>
      </c>
      <c r="AF23" s="661" cm="1">
        <f t="array" ref="AF23">IFERROR(SUMPRODUCT(MGK[[#This Row],[Maße]:[Elekronik]],TRANSPOSE($AT$8:$AT$16))*ExchangeRate/SUM(MGK[[#This Row],[Maße]:[Elekronik]]),0)</f>
        <v>68866.666666666672</v>
      </c>
      <c r="AG23" s="671" cm="1">
        <f t="array" ref="AG23">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3" s="671" cm="1">
        <f t="array" ref="AH23">IFERROR(SUMPRODUCT(MGK[[#This Row],[Maße]:[Elekronik]],TRANSPOSE($AV$8:$AV$16),TRANSPOSE($AW$8:$AW$16))/SUM(MGK[[#This Row],[Maße]:[Elekronik]]),0)</f>
        <v>4.5333333333333332</v>
      </c>
      <c r="AI23" s="671" cm="1">
        <f t="array" ref="AI23">IFERROR(SUMPRODUCT(MGK[[#This Row],[Maße]:[Elekronik]],TRANSPOSE($AX$8:$AX$16))/SUM(MGK[[#This Row],[Maße]:[Elekronik]]),0)</f>
        <v>6.666666666666667</v>
      </c>
      <c r="AJ23" s="671">
        <f>IFERROR(INDEX(MGKMHR[Invest],MATCH(MGK[[#This Row],[Lagerart]],MGKMHR[Bezeichnung],0))*ExchangeRate,0)</f>
        <v>30.6</v>
      </c>
      <c r="AK23" s="671">
        <f>IFERROR(MGK[[#This Row],[L-Invest]]*(1/INDEX(MGKMHR[AfA],MATCH(MGK[[#This Row],[Lagerart]],MGKMHR[Bezeichnung],0))+INDEX(MGKMHR[Verbrauchsmaterial],MATCH(MGK[[#This Row],[Lagerart]],MGKMHR[Bezeichnung],0))+INDEX(MGKMHR[Instandhaltung],MATCH(MGK[[#This Row],[Lagerart]],MGKMHR[Bezeichnung],0)))/(365*24),0)</f>
        <v>4.3547945205479459E-4</v>
      </c>
      <c r="AL23" s="671">
        <f>IFERROR(INDEX(MGKMHR[Strom],MATCH(MGK[[#This Row],[Lagerart]],MGKMHR[Bezeichnung],0))*INDEX(MGKMHR[Faktor],MATCH(MGK[[#This Row],[Lagerart]],MGKMHR[Bezeichnung],0)),0)</f>
        <v>5.4794520547945206E-3</v>
      </c>
      <c r="AM23" s="671">
        <f>IFERROR(INDEX(MGKMHR[Fläche],MATCH(MGK[[#This Row],[Lagerart]],MGKMHR[Bezeichnung],0)),0)</f>
        <v>0.5</v>
      </c>
      <c r="AN23" s="661">
        <f>IFERROR(INDEX(MGKMHR[Invest],MATCH(MGK[[#This Row],[Lagerbediengerät]],MGKMHR[Bezeichnung],0))*ExchangeRate,0)</f>
        <v>20000</v>
      </c>
      <c r="AO23" s="671">
        <f>IFERROR(MGK[[#This Row],[B-Invest]]*(1/INDEX(MGKMHR[AfA],MATCH(MGK[[#This Row],[Lagerbediengerät]],MGKMHR[Bezeichnung],0))+INDEX(MGKMHR[Verbrauchsmaterial],MATCH(MGK[[#This Row],[Lagerbediengerät]],MGKMHR[Bezeichnung],0))+INDEX(MGKMHR[Instandhaltung],MATCH(MGK[[#This Row],[Lagerbediengerät]],MGKMHR[Bezeichnung],0)))/(250*16*0.8),0)</f>
        <v>6.25</v>
      </c>
      <c r="AP23" s="671">
        <f>IFERROR(INDEX(MGKMHR[Strom],MATCH(MGK[[#This Row],[Lagerbediengerät]],MGKMHR[Bezeichnung],0))*INDEX(MGKMHR[Faktor],MATCH(MGK[[#This Row],[Lagerbediengerät]],MGKMHR[Bezeichnung],0)),0)</f>
        <v>9.6999999999999993</v>
      </c>
      <c r="AQ23" s="671">
        <f>IFERROR(INDEX(MGKMHR[Fläche],MATCH(MGK[[#This Row],[Lagerbediengerät]],MGKMHR[Bezeichnung],0)),0)</f>
        <v>0</v>
      </c>
      <c r="AR23" s="327"/>
      <c r="AS23" s="669" t="s">
        <v>998</v>
      </c>
      <c r="AT23" s="341">
        <v>647</v>
      </c>
      <c r="AU23" s="341">
        <v>15</v>
      </c>
      <c r="AV23" s="341">
        <v>1.3698630136986301E-2</v>
      </c>
      <c r="AW23" s="341">
        <v>1</v>
      </c>
      <c r="AX23" s="341">
        <v>1.25</v>
      </c>
      <c r="AY23" s="342">
        <v>0.02</v>
      </c>
      <c r="AZ23" s="342">
        <v>3.7999999999999999E-2</v>
      </c>
      <c r="BA23" s="342" t="s">
        <v>1065</v>
      </c>
      <c r="BB23" s="342">
        <v>0.2</v>
      </c>
      <c r="BD23" s="329" t="s">
        <v>556</v>
      </c>
      <c r="BE23" s="330" t="s">
        <v>96</v>
      </c>
      <c r="BF23" s="330" t="s">
        <v>155</v>
      </c>
      <c r="BG23" s="330" t="s">
        <v>152</v>
      </c>
      <c r="BI23" s="660" t="s">
        <v>2325</v>
      </c>
      <c r="BJ23" s="660" t="s">
        <v>1267</v>
      </c>
      <c r="BK23" s="661">
        <f>BK15^3</f>
        <v>1000000000</v>
      </c>
      <c r="BN23" s="331" t="s">
        <v>1045</v>
      </c>
    </row>
    <row r="24" spans="2:67" ht="13.5" thickTop="1">
      <c r="B24" s="671" t="str">
        <f>IF(Language="DE",MGK[[#This Row],[DE]],MGK[[#This Row],[EN]])</f>
        <v>Standard parts</v>
      </c>
      <c r="C24" s="228" t="s">
        <v>1101</v>
      </c>
      <c r="D24" s="228" t="s">
        <v>1261</v>
      </c>
      <c r="E24" s="228" t="s">
        <v>991</v>
      </c>
      <c r="F24" s="228" t="s">
        <v>1000</v>
      </c>
      <c r="G24" s="228" t="s">
        <v>995</v>
      </c>
      <c r="H24" s="228" t="s">
        <v>991</v>
      </c>
      <c r="I24" s="228" t="s">
        <v>997</v>
      </c>
      <c r="J24" s="324" t="s">
        <v>2184</v>
      </c>
      <c r="K24" s="228">
        <v>4</v>
      </c>
      <c r="L24" s="325">
        <v>1000</v>
      </c>
      <c r="M24" s="326">
        <v>100</v>
      </c>
      <c r="N24" s="326"/>
      <c r="O24" s="326"/>
      <c r="P24" s="326"/>
      <c r="Q24" s="326"/>
      <c r="R24" s="324">
        <v>0.01</v>
      </c>
      <c r="S24" s="673" t="str">
        <f>IFERROR(INDEX(MGKMHR[Gerät],MATCH(MGK[[#This Row],[Lagerart]],MGKMHR[Bezeichnung],0)),0)</f>
        <v>E-Stapler</v>
      </c>
      <c r="T24" s="674" cm="1">
        <f t="array" ref="T24">IFERROR(IF(MGK[[#This Row],[Bestellaufwand]]="gering",0.25, IF(MGK[[#This Row],[Bestellaufwand]]="mittel",1.5,IF(MGK[[#This Row],[Bestellaufwand]]="hoch",8,0))),0)
+IFERROR(IF(MGK[[#This Row],[Bestellaufwand]]="gering",0.25, IF(MGK[[#This Row],[Bestellaufwand]]="mittel",0.5,IF(MGK[[#This Row],[Bestellaufwand]]="hoch",1,0)))*OrdersPerYear,0)</f>
        <v>3.25</v>
      </c>
      <c r="U24" s="671">
        <f>SUM(MGK[[#This Row],[Maße]:[Elekronik]])</f>
        <v>6.75</v>
      </c>
      <c r="V24" s="675" cm="1">
        <f t="array" ref="V24">IFERROR(INDEX(MGKMHR[Handling],MATCH(MGK[[#This Row],[Lagerart]],MGKMHR[Bezeichnung],0))
*(OrdersPerYear+52/MGK[[#This Row],[Lagerreichweite]])*IF(MGK[[#This Row],[Handling]]="gering",0.25,IF(MGK[[#This Row],[Handling]]="hoch",2,1)),0)</f>
        <v>5</v>
      </c>
      <c r="W24" s="676" cm="1">
        <f t="array" ref="W2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24" s="660" cm="1">
        <f t="array" ref="X2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24" s="660" cm="1">
        <f t="array" ref="Y2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24" s="660" cm="1">
        <f t="array" ref="Z24">OrdersPerYear*IF(MGK[[#This Row],[Prüfaufwand]]="gering",0.25,IF(MGK[[#This Row],[Prüfaufwand]]="mittel",0.5,IF(MGK[[#This Row],[Prüfaufwand]]="hoch",1,0)))
*IF(MGK[[#This Row],[Spezifiaktion]]="Zusammenbau",1,0)*1</f>
        <v>0</v>
      </c>
      <c r="AA24" s="660" cm="1">
        <f t="array" ref="AA24">OrdersPerYear*IF(MGK[[#This Row],[Prüfaufwand]]="hoch",1,0)
*IF(MGK[[#This Row],[Spezifiaktion]]="Zusammenbau",1,0)*0.25</f>
        <v>0</v>
      </c>
      <c r="AB24" s="660" cm="1">
        <f t="array" ref="AB24">OrdersPerYear*IF(MGK[[#This Row],[Prüfaufwand]]="hoch",1,0)
*IF(MGK[[#This Row],[Spezifiaktion]]="Zusammenbau",1,0)*0.25</f>
        <v>0</v>
      </c>
      <c r="AC24" s="660" cm="1">
        <f t="array" ref="AC24">OrdersPerYear*IF(MGK[[#This Row],[Prüfaufwand]]="mittel",0.5,IF(MGK[[#This Row],[Prüfaufwand]]="hoch",1,0))
*IF(MGK[[#This Row],[Spezifiaktion]]="Zusammenbau",1,0)*1.5</f>
        <v>0</v>
      </c>
      <c r="AD24" s="660" cm="1">
        <f t="array" ref="AD24">OrdersPerYear*IF(MGK[[#This Row],[Prüfaufwand]]="hoch",1,0)
*IF(MGK[[#This Row],[Spezifiaktion]]="Zusammenbau",1,0)*0.25</f>
        <v>0</v>
      </c>
      <c r="AE24" s="660" cm="1">
        <f t="array" ref="AE24">OrdersPerYear*IF(MGK[[#This Row],[Bestellaufwand]]="gering",0.15,IF(MGK[[#This Row],[Bestellaufwand]]="mittel",0.5,IF(MGK[[#This Row],[Prüfaufwand]]="hoch",1,0)))
*IF(MGK[[#This Row],[Spezifiaktion]]="Elektronik",1,0)*1</f>
        <v>0</v>
      </c>
      <c r="AF24" s="661" cm="1">
        <f t="array" ref="AF24">IFERROR(SUMPRODUCT(MGK[[#This Row],[Maße]:[Elekronik]],TRANSPOSE($AT$8:$AT$16))*ExchangeRate/SUM(MGK[[#This Row],[Maße]:[Elekronik]]),0)</f>
        <v>68866.666666666672</v>
      </c>
      <c r="AG24" s="671" cm="1">
        <f t="array" ref="AG24">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4" s="671" cm="1">
        <f t="array" ref="AH24">IFERROR(SUMPRODUCT(MGK[[#This Row],[Maße]:[Elekronik]],TRANSPOSE($AV$8:$AV$16),TRANSPOSE($AW$8:$AW$16))/SUM(MGK[[#This Row],[Maße]:[Elekronik]]),0)</f>
        <v>4.5333333333333332</v>
      </c>
      <c r="AI24" s="671" cm="1">
        <f t="array" ref="AI24">IFERROR(SUMPRODUCT(MGK[[#This Row],[Maße]:[Elekronik]],TRANSPOSE($AX$8:$AX$16))/SUM(MGK[[#This Row],[Maße]:[Elekronik]]),0)</f>
        <v>6.666666666666667</v>
      </c>
      <c r="AJ24" s="671">
        <f>IFERROR(INDEX(MGKMHR[Invest],MATCH(MGK[[#This Row],[Lagerart]],MGKMHR[Bezeichnung],0))*ExchangeRate,0)</f>
        <v>30.6</v>
      </c>
      <c r="AK24" s="671">
        <f>IFERROR(MGK[[#This Row],[L-Invest]]*(1/INDEX(MGKMHR[AfA],MATCH(MGK[[#This Row],[Lagerart]],MGKMHR[Bezeichnung],0))+INDEX(MGKMHR[Verbrauchsmaterial],MATCH(MGK[[#This Row],[Lagerart]],MGKMHR[Bezeichnung],0))+INDEX(MGKMHR[Instandhaltung],MATCH(MGK[[#This Row],[Lagerart]],MGKMHR[Bezeichnung],0)))/(365*24),0)</f>
        <v>4.3547945205479459E-4</v>
      </c>
      <c r="AL24" s="671">
        <f>IFERROR(INDEX(MGKMHR[Strom],MATCH(MGK[[#This Row],[Lagerart]],MGKMHR[Bezeichnung],0))*INDEX(MGKMHR[Faktor],MATCH(MGK[[#This Row],[Lagerart]],MGKMHR[Bezeichnung],0)),0)</f>
        <v>5.4794520547945206E-3</v>
      </c>
      <c r="AM24" s="671">
        <f>IFERROR(INDEX(MGKMHR[Fläche],MATCH(MGK[[#This Row],[Lagerart]],MGKMHR[Bezeichnung],0)),0)</f>
        <v>0.5</v>
      </c>
      <c r="AN24" s="661">
        <f>IFERROR(INDEX(MGKMHR[Invest],MATCH(MGK[[#This Row],[Lagerbediengerät]],MGKMHR[Bezeichnung],0))*ExchangeRate,0)</f>
        <v>20000</v>
      </c>
      <c r="AO24" s="671">
        <f>IFERROR(MGK[[#This Row],[B-Invest]]*(1/INDEX(MGKMHR[AfA],MATCH(MGK[[#This Row],[Lagerbediengerät]],MGKMHR[Bezeichnung],0))+INDEX(MGKMHR[Verbrauchsmaterial],MATCH(MGK[[#This Row],[Lagerbediengerät]],MGKMHR[Bezeichnung],0))+INDEX(MGKMHR[Instandhaltung],MATCH(MGK[[#This Row],[Lagerbediengerät]],MGKMHR[Bezeichnung],0)))/(250*16*0.8),0)</f>
        <v>6.25</v>
      </c>
      <c r="AP24" s="671">
        <f>IFERROR(INDEX(MGKMHR[Strom],MATCH(MGK[[#This Row],[Lagerbediengerät]],MGKMHR[Bezeichnung],0))*INDEX(MGKMHR[Faktor],MATCH(MGK[[#This Row],[Lagerbediengerät]],MGKMHR[Bezeichnung],0)),0)</f>
        <v>9.6999999999999993</v>
      </c>
      <c r="AQ24" s="671">
        <f>IFERROR(INDEX(MGKMHR[Fläche],MATCH(MGK[[#This Row],[Lagerbediengerät]],MGKMHR[Bezeichnung],0)),0)</f>
        <v>0</v>
      </c>
      <c r="AR24" s="327"/>
      <c r="AS24" s="670" t="s">
        <v>1063</v>
      </c>
      <c r="AT24" s="343">
        <v>20000</v>
      </c>
      <c r="AU24" s="343">
        <v>1</v>
      </c>
      <c r="AV24" s="343">
        <v>9.6999999999999993</v>
      </c>
      <c r="AW24" s="343">
        <v>1</v>
      </c>
      <c r="AX24" s="343">
        <v>0</v>
      </c>
      <c r="AY24" s="344">
        <v>0</v>
      </c>
      <c r="AZ24" s="344">
        <v>0</v>
      </c>
      <c r="BA24" s="344"/>
      <c r="BB24" s="344"/>
      <c r="BD24" s="664" t="s">
        <v>82</v>
      </c>
      <c r="BE24" s="202">
        <f>AVERAGE(BF24:BG24)</f>
        <v>7.5</v>
      </c>
      <c r="BF24" s="239">
        <v>12</v>
      </c>
      <c r="BG24" s="239">
        <v>3</v>
      </c>
      <c r="BI24" s="660" t="s">
        <v>2323</v>
      </c>
      <c r="BJ24" s="660" t="s">
        <v>1267</v>
      </c>
      <c r="BK24" s="661">
        <f>BK16^3</f>
        <v>1000000</v>
      </c>
      <c r="BN24" s="332" t="s">
        <v>991</v>
      </c>
    </row>
    <row r="25" spans="2:67">
      <c r="B25" s="671" t="str">
        <f>IF(Language="DE",MGK[[#This Row],[DE]],MGK[[#This Row],[EN]])</f>
        <v>Assy electronics</v>
      </c>
      <c r="C25" s="228" t="s">
        <v>1166</v>
      </c>
      <c r="D25" s="228" t="s">
        <v>1167</v>
      </c>
      <c r="E25" s="228" t="s">
        <v>994</v>
      </c>
      <c r="F25" s="228" t="s">
        <v>1021</v>
      </c>
      <c r="G25" s="228" t="s">
        <v>994</v>
      </c>
      <c r="H25" s="228" t="s">
        <v>994</v>
      </c>
      <c r="I25" s="228" t="s">
        <v>1003</v>
      </c>
      <c r="J25" s="324" t="s">
        <v>2184</v>
      </c>
      <c r="K25" s="228">
        <v>4</v>
      </c>
      <c r="L25" s="325">
        <v>1000</v>
      </c>
      <c r="M25" s="326">
        <v>25</v>
      </c>
      <c r="N25" s="326"/>
      <c r="O25" s="326"/>
      <c r="P25" s="326"/>
      <c r="Q25" s="326"/>
      <c r="R25" s="324">
        <v>1</v>
      </c>
      <c r="S25" s="673" t="str">
        <f>IFERROR(INDEX(MGKMHR[Gerät],MATCH(MGK[[#This Row],[Lagerart]],MGKMHR[Bezeichnung],0)),0)</f>
        <v>Niederhubkommisionierer</v>
      </c>
      <c r="T25" s="674" cm="1">
        <f t="array" ref="T25">IFERROR(IF(MGK[[#This Row],[Bestellaufwand]]="gering",0.25, IF(MGK[[#This Row],[Bestellaufwand]]="mittel",1.5,IF(MGK[[#This Row],[Bestellaufwand]]="hoch",8,0))),0)
+IFERROR(IF(MGK[[#This Row],[Bestellaufwand]]="gering",0.25, IF(MGK[[#This Row],[Bestellaufwand]]="mittel",0.5,IF(MGK[[#This Row],[Bestellaufwand]]="hoch",1,0)))*OrdersPerYear,0)</f>
        <v>20</v>
      </c>
      <c r="U25" s="671">
        <f>SUM(MGK[[#This Row],[Maße]:[Elekronik]])</f>
        <v>12</v>
      </c>
      <c r="V25" s="675" cm="1">
        <f t="array" ref="V25">IFERROR(INDEX(MGKMHR[Handling],MATCH(MGK[[#This Row],[Lagerart]],MGKMHR[Bezeichnung],0))
*(OrdersPerYear+52/MGK[[#This Row],[Lagerreichweite]])*IF(MGK[[#This Row],[Handling]]="gering",0.25,IF(MGK[[#This Row],[Handling]]="hoch",2,1)),0)</f>
        <v>2.5</v>
      </c>
      <c r="W25" s="676" cm="1">
        <f t="array" ref="W2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25" s="660" cm="1">
        <f t="array" ref="X2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25" s="660" cm="1">
        <f t="array" ref="Y2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25" s="660" cm="1">
        <f t="array" ref="Z25">OrdersPerYear*IF(MGK[[#This Row],[Prüfaufwand]]="gering",0.25,IF(MGK[[#This Row],[Prüfaufwand]]="mittel",0.5,IF(MGK[[#This Row],[Prüfaufwand]]="hoch",1,0)))
*IF(MGK[[#This Row],[Spezifiaktion]]="Zusammenbau",1,0)*1</f>
        <v>0</v>
      </c>
      <c r="AA25" s="660" cm="1">
        <f t="array" ref="AA25">OrdersPerYear*IF(MGK[[#This Row],[Prüfaufwand]]="hoch",1,0)
*IF(MGK[[#This Row],[Spezifiaktion]]="Zusammenbau",1,0)*0.25</f>
        <v>0</v>
      </c>
      <c r="AB25" s="660" cm="1">
        <f t="array" ref="AB25">OrdersPerYear*IF(MGK[[#This Row],[Prüfaufwand]]="hoch",1,0)
*IF(MGK[[#This Row],[Spezifiaktion]]="Zusammenbau",1,0)*0.25</f>
        <v>0</v>
      </c>
      <c r="AC25" s="660" cm="1">
        <f t="array" ref="AC25">OrdersPerYear*IF(MGK[[#This Row],[Prüfaufwand]]="mittel",0.5,IF(MGK[[#This Row],[Prüfaufwand]]="hoch",1,0))
*IF(MGK[[#This Row],[Spezifiaktion]]="Zusammenbau",1,0)*1.5</f>
        <v>0</v>
      </c>
      <c r="AD25" s="660" cm="1">
        <f t="array" ref="AD25">OrdersPerYear*IF(MGK[[#This Row],[Prüfaufwand]]="hoch",1,0)
*IF(MGK[[#This Row],[Spezifiaktion]]="Zusammenbau",1,0)*0.25</f>
        <v>0</v>
      </c>
      <c r="AE25" s="660" cm="1">
        <f t="array" ref="AE25">OrdersPerYear*IF(MGK[[#This Row],[Bestellaufwand]]="gering",0.15,IF(MGK[[#This Row],[Bestellaufwand]]="mittel",0.5,IF(MGK[[#This Row],[Prüfaufwand]]="hoch",1,0)))
*IF(MGK[[#This Row],[Spezifiaktion]]="Elektronik",1,0)*1</f>
        <v>12</v>
      </c>
      <c r="AF25" s="661" cm="1">
        <f t="array" ref="AF25">IFERROR(SUMPRODUCT(MGK[[#This Row],[Maße]:[Elekronik]],TRANSPOSE($AT$8:$AT$16))*ExchangeRate/SUM(MGK[[#This Row],[Maße]:[Elekronik]]),0)</f>
        <v>500000</v>
      </c>
      <c r="AG25" s="671" cm="1">
        <f t="array" ref="AG25">IFERROR((SUMPRODUCT(MGK[[#This Row],[Maße]:[Elekronik]],TRANSPOSE($AT$8:$AT$16),1/TRANSPOSE($AU$8:$AU$16))+SUMPRODUCT(MGK[[#This Row],[Maße]:[Elekronik]],TRANSPOSE($AT$8:$AT$16),TRANSPOSE($AY$8:$AY$16))+SUMPRODUCT(MGK[[#This Row],[Maße]:[Elekronik]],TRANSPOSE($AT$8:$AT$16),TRANSPOSE($AZ$8:$AZ$16)))*ExchangeRate/(250*8*0.8)/SUM(MGK[[#This Row],[Maße]:[Elekronik]]),0)</f>
        <v>49.375</v>
      </c>
      <c r="AH25" s="671" cm="1">
        <f t="array" ref="AH25">IFERROR(SUMPRODUCT(MGK[[#This Row],[Maße]:[Elekronik]],TRANSPOSE($AV$8:$AV$16),TRANSPOSE($AW$8:$AW$16))/SUM(MGK[[#This Row],[Maße]:[Elekronik]]),0)</f>
        <v>10</v>
      </c>
      <c r="AI25" s="671" cm="1">
        <f t="array" ref="AI25">IFERROR(SUMPRODUCT(MGK[[#This Row],[Maße]:[Elekronik]],TRANSPOSE($AX$8:$AX$16))/SUM(MGK[[#This Row],[Maße]:[Elekronik]]),0)</f>
        <v>10</v>
      </c>
      <c r="AJ25" s="671">
        <f>IFERROR(INDEX(MGKMHR[Invest],MATCH(MGK[[#This Row],[Lagerart]],MGKMHR[Bezeichnung],0))*ExchangeRate,0)</f>
        <v>43.5</v>
      </c>
      <c r="AK25" s="671">
        <f>IFERROR(MGK[[#This Row],[L-Invest]]*(1/INDEX(MGKMHR[AfA],MATCH(MGK[[#This Row],[Lagerart]],MGKMHR[Bezeichnung],0))+INDEX(MGKMHR[Verbrauchsmaterial],MATCH(MGK[[#This Row],[Lagerart]],MGKMHR[Bezeichnung],0))+INDEX(MGKMHR[Instandhaltung],MATCH(MGK[[#This Row],[Lagerart]],MGKMHR[Bezeichnung],0)))/(365*24),0)</f>
        <v>6.1906392694063925E-4</v>
      </c>
      <c r="AL25" s="671">
        <f>IFERROR(INDEX(MGKMHR[Strom],MATCH(MGK[[#This Row],[Lagerart]],MGKMHR[Bezeichnung],0))*INDEX(MGKMHR[Faktor],MATCH(MGK[[#This Row],[Lagerart]],MGKMHR[Bezeichnung],0)),0)</f>
        <v>4.8219178082191784E-3</v>
      </c>
      <c r="AM25" s="671">
        <f>IFERROR(INDEX(MGKMHR[Fläche],MATCH(MGK[[#This Row],[Lagerart]],MGKMHR[Bezeichnung],0)),0)</f>
        <v>0.44000000000000006</v>
      </c>
      <c r="AN25" s="661">
        <f>IFERROR(INDEX(MGKMHR[Invest],MATCH(MGK[[#This Row],[Lagerbediengerät]],MGKMHR[Bezeichnung],0))*ExchangeRate,0)</f>
        <v>2000</v>
      </c>
      <c r="AO25" s="671">
        <f>IFERROR(MGK[[#This Row],[B-Invest]]*(1/INDEX(MGKMHR[AfA],MATCH(MGK[[#This Row],[Lagerbediengerät]],MGKMHR[Bezeichnung],0))+INDEX(MGKMHR[Verbrauchsmaterial],MATCH(MGK[[#This Row],[Lagerbediengerät]],MGKMHR[Bezeichnung],0))+INDEX(MGKMHR[Instandhaltung],MATCH(MGK[[#This Row],[Lagerbediengerät]],MGKMHR[Bezeichnung],0)))/(250*16*0.8),0)</f>
        <v>0.625</v>
      </c>
      <c r="AP25" s="671">
        <f>IFERROR(INDEX(MGKMHR[Strom],MATCH(MGK[[#This Row],[Lagerbediengerät]],MGKMHR[Bezeichnung],0))*INDEX(MGKMHR[Faktor],MATCH(MGK[[#This Row],[Lagerbediengerät]],MGKMHR[Bezeichnung],0)),0)</f>
        <v>1</v>
      </c>
      <c r="AQ25" s="671">
        <f>IFERROR(INDEX(MGKMHR[Fläche],MATCH(MGK[[#This Row],[Lagerbediengerät]],MGKMHR[Bezeichnung],0)),0)</f>
        <v>0</v>
      </c>
      <c r="AR25" s="327"/>
      <c r="AS25" s="666" t="s">
        <v>1064</v>
      </c>
      <c r="AT25" s="228">
        <v>2000</v>
      </c>
      <c r="AU25" s="228">
        <v>1</v>
      </c>
      <c r="AV25" s="228">
        <v>1</v>
      </c>
      <c r="AW25" s="228">
        <v>1</v>
      </c>
      <c r="AX25" s="228">
        <v>0</v>
      </c>
      <c r="AY25" s="328">
        <v>0</v>
      </c>
      <c r="AZ25" s="328">
        <v>0</v>
      </c>
      <c r="BA25" s="328"/>
      <c r="BB25" s="328"/>
      <c r="BD25" s="664" t="s">
        <v>87</v>
      </c>
      <c r="BE25" s="202">
        <v>6</v>
      </c>
      <c r="BF25" s="239">
        <v>10</v>
      </c>
      <c r="BG25" s="239">
        <v>1.5</v>
      </c>
      <c r="BI25" s="660" t="s">
        <v>2324</v>
      </c>
      <c r="BJ25" s="660" t="s">
        <v>1267</v>
      </c>
      <c r="BK25" s="661">
        <f>BK17^3</f>
        <v>1000</v>
      </c>
      <c r="BN25" s="332" t="s">
        <v>995</v>
      </c>
    </row>
    <row r="26" spans="2:67">
      <c r="B26" s="671" t="str">
        <f>IF(Language="DE",MGK[[#This Row],[DE]],MGK[[#This Row],[EN]])</f>
        <v>Part to be provided</v>
      </c>
      <c r="C26" s="228" t="s">
        <v>1427</v>
      </c>
      <c r="D26" s="228" t="s">
        <v>1428</v>
      </c>
      <c r="E26" s="228"/>
      <c r="F26" s="228"/>
      <c r="G26" s="228"/>
      <c r="H26" s="228"/>
      <c r="I26" s="228"/>
      <c r="J26" s="324"/>
      <c r="K26" s="228"/>
      <c r="L26" s="325"/>
      <c r="M26" s="326"/>
      <c r="N26" s="326"/>
      <c r="O26" s="326"/>
      <c r="P26" s="326"/>
      <c r="Q26" s="326"/>
      <c r="R26" s="324"/>
      <c r="S26" s="673">
        <f>IFERROR(INDEX(MGKMHR[Gerät],MATCH(MGK[[#This Row],[Lagerart]],MGKMHR[Bezeichnung],0)),0)</f>
        <v>0</v>
      </c>
      <c r="T26" s="674" cm="1">
        <f t="array" ref="T26">IFERROR(IF(MGK[[#This Row],[Bestellaufwand]]="gering",0.25, IF(MGK[[#This Row],[Bestellaufwand]]="mittel",1.5,IF(MGK[[#This Row],[Bestellaufwand]]="hoch",8,0))),0)
+IFERROR(IF(MGK[[#This Row],[Bestellaufwand]]="gering",0.25, IF(MGK[[#This Row],[Bestellaufwand]]="mittel",0.5,IF(MGK[[#This Row],[Bestellaufwand]]="hoch",1,0)))*OrdersPerYear,0)</f>
        <v>0</v>
      </c>
      <c r="U26" s="671">
        <f>SUM(MGK[[#This Row],[Maße]:[Elekronik]])</f>
        <v>0</v>
      </c>
      <c r="V26" s="675" cm="1">
        <f t="array" ref="V26">IFERROR(INDEX(MGKMHR[Handling],MATCH(MGK[[#This Row],[Lagerart]],MGKMHR[Bezeichnung],0))
*(OrdersPerYear+52/MGK[[#This Row],[Lagerreichweite]])*IF(MGK[[#This Row],[Handling]]="gering",0.25,IF(MGK[[#This Row],[Handling]]="hoch",2,1)),0)</f>
        <v>0</v>
      </c>
      <c r="W26" s="676" cm="1">
        <f t="array" ref="W2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26" s="660" cm="1">
        <f t="array" ref="X2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26" s="660" cm="1">
        <f t="array" ref="Y2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26" s="660" cm="1">
        <f t="array" ref="Z26">OrdersPerYear*IF(MGK[[#This Row],[Prüfaufwand]]="gering",0.25,IF(MGK[[#This Row],[Prüfaufwand]]="mittel",0.5,IF(MGK[[#This Row],[Prüfaufwand]]="hoch",1,0)))
*IF(MGK[[#This Row],[Spezifiaktion]]="Zusammenbau",1,0)*1</f>
        <v>0</v>
      </c>
      <c r="AA26" s="660" cm="1">
        <f t="array" ref="AA26">OrdersPerYear*IF(MGK[[#This Row],[Prüfaufwand]]="hoch",1,0)
*IF(MGK[[#This Row],[Spezifiaktion]]="Zusammenbau",1,0)*0.25</f>
        <v>0</v>
      </c>
      <c r="AB26" s="660" cm="1">
        <f t="array" ref="AB26">OrdersPerYear*IF(MGK[[#This Row],[Prüfaufwand]]="hoch",1,0)
*IF(MGK[[#This Row],[Spezifiaktion]]="Zusammenbau",1,0)*0.25</f>
        <v>0</v>
      </c>
      <c r="AC26" s="660" cm="1">
        <f t="array" ref="AC26">OrdersPerYear*IF(MGK[[#This Row],[Prüfaufwand]]="mittel",0.5,IF(MGK[[#This Row],[Prüfaufwand]]="hoch",1,0))
*IF(MGK[[#This Row],[Spezifiaktion]]="Zusammenbau",1,0)*1.5</f>
        <v>0</v>
      </c>
      <c r="AD26" s="660" cm="1">
        <f t="array" ref="AD26">OrdersPerYear*IF(MGK[[#This Row],[Prüfaufwand]]="hoch",1,0)
*IF(MGK[[#This Row],[Spezifiaktion]]="Zusammenbau",1,0)*0.25</f>
        <v>0</v>
      </c>
      <c r="AE26" s="660" cm="1">
        <f t="array" ref="AE26">OrdersPerYear*IF(MGK[[#This Row],[Bestellaufwand]]="gering",0.15,IF(MGK[[#This Row],[Bestellaufwand]]="mittel",0.5,IF(MGK[[#This Row],[Prüfaufwand]]="hoch",1,0)))
*IF(MGK[[#This Row],[Spezifiaktion]]="Elektronik",1,0)*1</f>
        <v>0</v>
      </c>
      <c r="AF26" s="661" cm="1">
        <f t="array" ref="AF26">IFERROR(SUMPRODUCT(MGK[[#This Row],[Maße]:[Elekronik]],TRANSPOSE($AT$8:$AT$16))*ExchangeRate/SUM(MGK[[#This Row],[Maße]:[Elekronik]]),0)</f>
        <v>0</v>
      </c>
      <c r="AG26" s="671" cm="1">
        <f t="array" ref="AG26">IFERROR((SUMPRODUCT(MGK[[#This Row],[Maße]:[Elekronik]],TRANSPOSE($AT$8:$AT$16),1/TRANSPOSE($AU$8:$AU$16))+SUMPRODUCT(MGK[[#This Row],[Maße]:[Elekronik]],TRANSPOSE($AT$8:$AT$16),TRANSPOSE($AY$8:$AY$16))+SUMPRODUCT(MGK[[#This Row],[Maße]:[Elekronik]],TRANSPOSE($AT$8:$AT$16),TRANSPOSE($AZ$8:$AZ$16)))*ExchangeRate/(250*8*0.8)/SUM(MGK[[#This Row],[Maße]:[Elekronik]]),0)</f>
        <v>0</v>
      </c>
      <c r="AH26" s="671" cm="1">
        <f t="array" ref="AH26">IFERROR(SUMPRODUCT(MGK[[#This Row],[Maße]:[Elekronik]],TRANSPOSE($AV$8:$AV$16),TRANSPOSE($AW$8:$AW$16))/SUM(MGK[[#This Row],[Maße]:[Elekronik]]),0)</f>
        <v>0</v>
      </c>
      <c r="AI26" s="671" cm="1">
        <f t="array" ref="AI26">IFERROR(SUMPRODUCT(MGK[[#This Row],[Maße]:[Elekronik]],TRANSPOSE($AX$8:$AX$16))/SUM(MGK[[#This Row],[Maße]:[Elekronik]]),0)</f>
        <v>0</v>
      </c>
      <c r="AJ26" s="671">
        <f>IFERROR(INDEX(MGKMHR[Invest],MATCH(MGK[[#This Row],[Lagerart]],MGKMHR[Bezeichnung],0))*ExchangeRate,0)</f>
        <v>0</v>
      </c>
      <c r="AK26" s="671">
        <f>IFERROR(MGK[[#This Row],[L-Invest]]*(1/INDEX(MGKMHR[AfA],MATCH(MGK[[#This Row],[Lagerart]],MGKMHR[Bezeichnung],0))+INDEX(MGKMHR[Verbrauchsmaterial],MATCH(MGK[[#This Row],[Lagerart]],MGKMHR[Bezeichnung],0))+INDEX(MGKMHR[Instandhaltung],MATCH(MGK[[#This Row],[Lagerart]],MGKMHR[Bezeichnung],0)))/(365*24),0)</f>
        <v>0</v>
      </c>
      <c r="AL26" s="671">
        <f>IFERROR(INDEX(MGKMHR[Strom],MATCH(MGK[[#This Row],[Lagerart]],MGKMHR[Bezeichnung],0))*INDEX(MGKMHR[Faktor],MATCH(MGK[[#This Row],[Lagerart]],MGKMHR[Bezeichnung],0)),0)</f>
        <v>0</v>
      </c>
      <c r="AM26" s="671">
        <f>IFERROR(INDEX(MGKMHR[Fläche],MATCH(MGK[[#This Row],[Lagerart]],MGKMHR[Bezeichnung],0)),0)</f>
        <v>0</v>
      </c>
      <c r="AN26" s="661">
        <f>IFERROR(INDEX(MGKMHR[Invest],MATCH(MGK[[#This Row],[Lagerbediengerät]],MGKMHR[Bezeichnung],0))*ExchangeRate,0)</f>
        <v>0</v>
      </c>
      <c r="AO26" s="671">
        <f>IFERROR(MGK[[#This Row],[B-Invest]]*(1/INDEX(MGKMHR[AfA],MATCH(MGK[[#This Row],[Lagerbediengerät]],MGKMHR[Bezeichnung],0))+INDEX(MGKMHR[Verbrauchsmaterial],MATCH(MGK[[#This Row],[Lagerbediengerät]],MGKMHR[Bezeichnung],0))+INDEX(MGKMHR[Instandhaltung],MATCH(MGK[[#This Row],[Lagerbediengerät]],MGKMHR[Bezeichnung],0)))/(250*16*0.8),0)</f>
        <v>0</v>
      </c>
      <c r="AP26" s="671">
        <f>IFERROR(INDEX(MGKMHR[Strom],MATCH(MGK[[#This Row],[Lagerbediengerät]],MGKMHR[Bezeichnung],0))*INDEX(MGKMHR[Faktor],MATCH(MGK[[#This Row],[Lagerbediengerät]],MGKMHR[Bezeichnung],0)),0)</f>
        <v>0</v>
      </c>
      <c r="AQ26" s="671">
        <f>IFERROR(INDEX(MGKMHR[Fläche],MATCH(MGK[[#This Row],[Lagerbediengerät]],MGKMHR[Bezeichnung],0)),0)</f>
        <v>0</v>
      </c>
      <c r="AR26" s="327"/>
      <c r="AS26" s="667" t="s">
        <v>1065</v>
      </c>
      <c r="AT26" s="337">
        <v>11000</v>
      </c>
      <c r="AU26" s="337">
        <v>1</v>
      </c>
      <c r="AV26" s="337">
        <v>5</v>
      </c>
      <c r="AW26" s="337">
        <v>1</v>
      </c>
      <c r="AX26" s="337">
        <v>0</v>
      </c>
      <c r="AY26" s="338">
        <v>0</v>
      </c>
      <c r="AZ26" s="338">
        <v>0</v>
      </c>
      <c r="BA26" s="328"/>
      <c r="BB26" s="328"/>
      <c r="BD26" s="664" t="s">
        <v>88</v>
      </c>
      <c r="BE26" s="202">
        <f>AVERAGE(BF26:BG26)</f>
        <v>3.5</v>
      </c>
      <c r="BF26" s="239">
        <v>6</v>
      </c>
      <c r="BG26" s="239">
        <v>1</v>
      </c>
      <c r="BI26" s="662" t="s">
        <v>1267</v>
      </c>
      <c r="BJ26" s="662" t="s">
        <v>1267</v>
      </c>
      <c r="BK26" s="663">
        <f>BK18^3</f>
        <v>1</v>
      </c>
      <c r="BN26" s="332" t="s">
        <v>994</v>
      </c>
    </row>
    <row r="27" spans="2:67">
      <c r="C27" s="4"/>
      <c r="D27" s="4"/>
      <c r="E27" s="4"/>
      <c r="F27" s="4"/>
      <c r="G27" s="4"/>
      <c r="H27" s="4"/>
      <c r="I27" s="4"/>
      <c r="J27" s="4"/>
      <c r="K27" s="345"/>
      <c r="L27" s="345"/>
      <c r="M27" s="345"/>
      <c r="N27" s="345"/>
      <c r="O27" s="345"/>
      <c r="P27" s="345"/>
      <c r="Q27" s="345"/>
      <c r="R27" s="345"/>
      <c r="S27" s="346"/>
      <c r="T27" s="4"/>
      <c r="U27" s="177"/>
      <c r="V27" s="177"/>
      <c r="W27" s="177"/>
      <c r="AG27" s="297"/>
      <c r="AH27" s="177"/>
      <c r="AI27" s="177"/>
      <c r="AJ27" s="177"/>
      <c r="AK27" s="177"/>
      <c r="AL27" s="177"/>
      <c r="AM27" s="177"/>
      <c r="AN27" s="177"/>
      <c r="AO27" s="297"/>
      <c r="AP27" s="177"/>
      <c r="AQ27" s="177"/>
      <c r="AR27" s="177"/>
      <c r="AU27" s="4"/>
      <c r="AV27" s="4"/>
      <c r="AW27" s="4"/>
      <c r="AX27" s="4"/>
      <c r="AY27" s="4"/>
      <c r="AZ27" s="4"/>
      <c r="BA27" s="4"/>
      <c r="BB27" s="4"/>
      <c r="BC27" s="4"/>
      <c r="BD27" s="4"/>
      <c r="BE27" s="4"/>
      <c r="BF27" s="4"/>
      <c r="BG27" s="4"/>
      <c r="BH27" s="4"/>
      <c r="BL27" s="4"/>
      <c r="BM27" s="4"/>
      <c r="BO27" s="4"/>
    </row>
    <row r="28" spans="2:67">
      <c r="AR28" s="177"/>
      <c r="AU28" s="4"/>
      <c r="AV28" s="4"/>
      <c r="AW28" s="4"/>
      <c r="AX28" s="4"/>
      <c r="AY28" s="4"/>
      <c r="AZ28" s="4"/>
      <c r="BA28" s="4"/>
      <c r="BB28" s="4"/>
      <c r="BC28" s="4"/>
      <c r="BD28" s="4"/>
      <c r="BE28" s="4"/>
      <c r="BF28" s="4"/>
      <c r="BG28" s="4"/>
      <c r="BH28" s="4"/>
      <c r="BL28" s="4"/>
      <c r="BM28" s="4"/>
      <c r="BN28" s="331" t="s">
        <v>990</v>
      </c>
      <c r="BO28" s="4"/>
    </row>
    <row r="29" spans="2:67">
      <c r="AS29" s="5"/>
      <c r="AT29" s="5"/>
      <c r="BC29" s="347"/>
      <c r="BE29" s="177"/>
      <c r="BG29" s="5"/>
      <c r="BN29" s="332" t="s">
        <v>1039</v>
      </c>
    </row>
    <row r="30" spans="2:67">
      <c r="BN30" s="332" t="s">
        <v>991</v>
      </c>
    </row>
    <row r="31" spans="2:67">
      <c r="BN31" s="332" t="s">
        <v>995</v>
      </c>
    </row>
    <row r="32" spans="2:67">
      <c r="BN32" s="332" t="s">
        <v>994</v>
      </c>
    </row>
    <row r="34" spans="66:66">
      <c r="BN34" s="331" t="s">
        <v>1015</v>
      </c>
    </row>
    <row r="35" spans="66:66">
      <c r="BN35" s="332" t="s">
        <v>997</v>
      </c>
    </row>
    <row r="36" spans="66:66">
      <c r="BN36" s="332" t="s">
        <v>709</v>
      </c>
    </row>
    <row r="37" spans="66:66">
      <c r="BN37" s="332" t="s">
        <v>993</v>
      </c>
    </row>
    <row r="38" spans="66:66">
      <c r="BN38" s="332" t="s">
        <v>999</v>
      </c>
    </row>
    <row r="39" spans="66:66">
      <c r="BN39" s="332" t="s">
        <v>1003</v>
      </c>
    </row>
    <row r="40" spans="66:66">
      <c r="BN40" s="332" t="s">
        <v>1089</v>
      </c>
    </row>
    <row r="41" spans="66:66">
      <c r="BN41" s="332" t="s">
        <v>1095</v>
      </c>
    </row>
    <row r="43" spans="66:66">
      <c r="BN43" s="331" t="s">
        <v>2182</v>
      </c>
    </row>
    <row r="44" spans="66:66">
      <c r="BN44" s="332" t="s">
        <v>2185</v>
      </c>
    </row>
    <row r="45" spans="66:66">
      <c r="BN45" s="332" t="s">
        <v>2184</v>
      </c>
    </row>
    <row r="46" spans="66:66">
      <c r="BN46" s="332" t="s">
        <v>2186</v>
      </c>
    </row>
    <row r="47" spans="66:66">
      <c r="BN47" s="332" t="s">
        <v>2187</v>
      </c>
    </row>
    <row r="48" spans="66:66">
      <c r="BN48" s="332" t="s">
        <v>2183</v>
      </c>
    </row>
    <row r="50" spans="66:66">
      <c r="BN50" s="331" t="s">
        <v>1019</v>
      </c>
    </row>
    <row r="51" spans="66:66">
      <c r="BN51" s="332">
        <v>1E-4</v>
      </c>
    </row>
    <row r="52" spans="66:66">
      <c r="BN52" s="332">
        <v>1E-3</v>
      </c>
    </row>
    <row r="53" spans="66:66">
      <c r="BN53" s="332">
        <v>0.01</v>
      </c>
    </row>
    <row r="54" spans="66:66">
      <c r="BN54" s="332">
        <v>0.1</v>
      </c>
    </row>
    <row r="55" spans="66:66">
      <c r="BN55" s="332">
        <v>1</v>
      </c>
    </row>
    <row r="56" spans="66:66">
      <c r="BN56" s="332">
        <v>2</v>
      </c>
    </row>
    <row r="57" spans="66:66">
      <c r="BN57" s="332">
        <v>5</v>
      </c>
    </row>
  </sheetData>
  <mergeCells count="8">
    <mergeCell ref="BI5:BK5"/>
    <mergeCell ref="L4:Q4"/>
    <mergeCell ref="B2:BN2"/>
    <mergeCell ref="T4:V4"/>
    <mergeCell ref="W4:AE4"/>
    <mergeCell ref="AF4:AI4"/>
    <mergeCell ref="AJ4:AM4"/>
    <mergeCell ref="AN4:AQ4"/>
  </mergeCells>
  <phoneticPr fontId="36" type="noConversion"/>
  <dataValidations count="11">
    <dataValidation type="list" allowBlank="1" showInputMessage="1" showErrorMessage="1" sqref="BA17:BA23 T26:T27 S7:S25" xr:uid="{067FD3C9-CDE3-4931-A249-BE87D0DE45A6}">
      <formula1>$AT$24:$AT$29</formula1>
    </dataValidation>
    <dataValidation type="list" allowBlank="1" showInputMessage="1" showErrorMessage="1" sqref="J27 F27" xr:uid="{202633EF-75C1-450D-9A0D-DD98D8FFC2C5}">
      <formula1>#REF!</formula1>
    </dataValidation>
    <dataValidation type="list" allowBlank="1" showInputMessage="1" showErrorMessage="1" sqref="E7:E27" xr:uid="{BA983E1C-5CE3-4958-943A-D31B80E6C694}">
      <formula1>$BN$10:$BN$12</formula1>
    </dataValidation>
    <dataValidation type="list" allowBlank="1" showInputMessage="1" showErrorMessage="1" sqref="F7:F27" xr:uid="{17A2F75B-7D1E-4130-AE75-96B343947E0A}">
      <formula1>$BN$15:$BN$21</formula1>
    </dataValidation>
    <dataValidation type="list" allowBlank="1" showInputMessage="1" showErrorMessage="1" sqref="G7:G27" xr:uid="{AE6FB451-68CB-4A26-B592-70576C1FB0CA}">
      <formula1>$BN$24:$BN$26</formula1>
    </dataValidation>
    <dataValidation type="list" allowBlank="1" showInputMessage="1" showErrorMessage="1" sqref="H7:H27" xr:uid="{5602C644-687D-446D-B1B8-76098CC642C5}">
      <formula1>$BN$29:$BN$32</formula1>
    </dataValidation>
    <dataValidation type="list" allowBlank="1" showInputMessage="1" showErrorMessage="1" sqref="I7:I27" xr:uid="{9BBDE34A-25BC-4275-8A57-83C64F80959B}">
      <formula1>$BN$35:$BN$41</formula1>
    </dataValidation>
    <dataValidation type="list" allowBlank="1" showInputMessage="1" sqref="K27:R27" xr:uid="{3A4F839D-95E3-4EEF-8FD7-F90E47E0C202}">
      <formula1>#REF!</formula1>
    </dataValidation>
    <dataValidation type="list" allowBlank="1" showInputMessage="1" sqref="K27:R27" xr:uid="{D4912D5C-5E8B-4E5B-9B35-BBAD6D2ADCE3}">
      <formula1>$BT$7:$BT$13</formula1>
    </dataValidation>
    <dataValidation type="list" allowBlank="1" showInputMessage="1" sqref="S26:S27 R7:R26" xr:uid="{048C7EDC-71AA-4449-BF0D-DE8E3663C2D1}">
      <formula1>$BN$51:$BN$57</formula1>
    </dataValidation>
    <dataValidation type="list" allowBlank="1" showInputMessage="1" showErrorMessage="1" sqref="J7:J26" xr:uid="{DA6C2F99-4D30-4CB1-892A-B0302254A468}">
      <formula1>$BN$44:$BN$48</formula1>
    </dataValidation>
  </dataValidations>
  <pageMargins left="0.7" right="0.7" top="0.78740157499999996" bottom="0.78740157499999996" header="0.3" footer="0.3"/>
  <pageSetup paperSize="9" orientation="portrait" r:id="rId1"/>
  <legacyDrawing r:id="rId2"/>
  <tableParts count="3">
    <tablePart r:id="rId3"/>
    <tablePart r:id="rId4"/>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37BE3-17AA-4A80-B379-90830EE11020}">
  <sheetPr codeName="TabHandling">
    <tabColor theme="9" tint="0.59999389629810485"/>
  </sheetPr>
  <dimension ref="B1:AO33"/>
  <sheetViews>
    <sheetView showGridLines="0" zoomScale="85" zoomScaleNormal="85" workbookViewId="0">
      <selection activeCell="B2" sqref="B2:AX4"/>
    </sheetView>
  </sheetViews>
  <sheetFormatPr baseColWidth="10" defaultColWidth="11.42578125" defaultRowHeight="12.75"/>
  <cols>
    <col min="1" max="1" width="2.42578125" style="5" customWidth="1"/>
    <col min="2" max="6" width="12.7109375" style="5" customWidth="1"/>
    <col min="7" max="7" width="2.7109375" style="5" customWidth="1"/>
    <col min="8" max="8" width="4" style="5" bestFit="1" customWidth="1"/>
    <col min="9" max="10" width="4" style="4" bestFit="1" customWidth="1"/>
    <col min="11" max="11" width="3.85546875" style="5" bestFit="1" customWidth="1"/>
    <col min="12" max="12" width="4.28515625" style="5" bestFit="1" customWidth="1"/>
    <col min="13" max="15" width="4" style="5" bestFit="1" customWidth="1"/>
    <col min="16" max="16" width="4.7109375" style="5" bestFit="1" customWidth="1"/>
    <col min="17" max="24" width="4" style="5" bestFit="1" customWidth="1"/>
    <col min="25" max="25" width="5.7109375" style="5" customWidth="1"/>
    <col min="26" max="27" width="4" style="5" bestFit="1" customWidth="1"/>
    <col min="28" max="28" width="6" style="5" bestFit="1" customWidth="1"/>
    <col min="29" max="31" width="4" style="5" bestFit="1" customWidth="1"/>
    <col min="32" max="32" width="8.28515625" style="5" bestFit="1" customWidth="1"/>
    <col min="33" max="33" width="4.7109375" style="5" bestFit="1" customWidth="1"/>
    <col min="34" max="34" width="4" style="5" bestFit="1" customWidth="1"/>
    <col min="35" max="35" width="39.7109375" style="5" bestFit="1" customWidth="1"/>
    <col min="36" max="36" width="2.7109375" style="5" customWidth="1"/>
    <col min="37" max="41" width="12.7109375" style="5" customWidth="1"/>
    <col min="42" max="16384" width="11.42578125" style="5"/>
  </cols>
  <sheetData>
    <row r="1" spans="2:41" ht="13.5" thickBot="1"/>
    <row r="2" spans="2:41" ht="79.150000000000006" customHeight="1">
      <c r="I2" s="1354" t="s">
        <v>3283</v>
      </c>
      <c r="J2" s="1354"/>
      <c r="K2" s="1354"/>
      <c r="L2" s="1354"/>
      <c r="M2" s="1355" t="s">
        <v>3284</v>
      </c>
      <c r="N2" s="1355"/>
      <c r="O2" s="1355"/>
      <c r="P2" s="1355"/>
      <c r="Q2" s="1355" t="s">
        <v>3285</v>
      </c>
      <c r="R2" s="1355"/>
      <c r="S2" s="1355"/>
      <c r="T2" s="1355"/>
      <c r="U2" s="1356" t="s">
        <v>3297</v>
      </c>
      <c r="V2" s="1356"/>
      <c r="W2" s="1356"/>
      <c r="X2" s="1356"/>
      <c r="Y2" s="1071" t="s">
        <v>3298</v>
      </c>
      <c r="Z2" s="1343" t="s">
        <v>3287</v>
      </c>
      <c r="AA2" s="1343"/>
      <c r="AB2" s="1343"/>
      <c r="AC2" s="1343"/>
      <c r="AD2" s="1344" t="s">
        <v>3288</v>
      </c>
      <c r="AE2" s="1344"/>
      <c r="AF2" s="1344"/>
      <c r="AG2" s="1344"/>
      <c r="AH2" s="1345" t="s">
        <v>3289</v>
      </c>
      <c r="AI2" s="1349" t="s">
        <v>3290</v>
      </c>
      <c r="AK2" s="1070" t="s">
        <v>3305</v>
      </c>
      <c r="AL2" s="1068"/>
      <c r="AM2" s="1068"/>
      <c r="AN2" s="1068"/>
      <c r="AO2" s="1069"/>
    </row>
    <row r="3" spans="2:41" ht="14.45" customHeight="1" thickBot="1">
      <c r="E3" s="1357" t="s">
        <v>200</v>
      </c>
      <c r="F3" s="1358"/>
      <c r="I3" s="1350" t="s">
        <v>3291</v>
      </c>
      <c r="J3" s="1350" t="s">
        <v>3292</v>
      </c>
      <c r="K3" s="1350" t="s">
        <v>3293</v>
      </c>
      <c r="L3" s="1350" t="s">
        <v>3294</v>
      </c>
      <c r="M3" s="1351" t="s">
        <v>3291</v>
      </c>
      <c r="N3" s="1351" t="s">
        <v>3292</v>
      </c>
      <c r="O3" s="1351" t="s">
        <v>3293</v>
      </c>
      <c r="P3" s="1351" t="s">
        <v>3294</v>
      </c>
      <c r="Q3" s="1351" t="s">
        <v>3291</v>
      </c>
      <c r="R3" s="1351" t="s">
        <v>3292</v>
      </c>
      <c r="S3" s="1351" t="s">
        <v>3293</v>
      </c>
      <c r="T3" s="1351" t="s">
        <v>3294</v>
      </c>
      <c r="U3" s="1352" t="s">
        <v>3291</v>
      </c>
      <c r="V3" s="1352" t="s">
        <v>3292</v>
      </c>
      <c r="W3" s="1352" t="s">
        <v>3293</v>
      </c>
      <c r="X3" s="1352" t="s">
        <v>3294</v>
      </c>
      <c r="Y3" s="1341" t="s">
        <v>3294</v>
      </c>
      <c r="Z3" s="1342" t="s">
        <v>3291</v>
      </c>
      <c r="AA3" s="1342" t="s">
        <v>3292</v>
      </c>
      <c r="AB3" s="1342" t="s">
        <v>3293</v>
      </c>
      <c r="AC3" s="1342" t="s">
        <v>3294</v>
      </c>
      <c r="AD3" s="1348" t="s">
        <v>3291</v>
      </c>
      <c r="AE3" s="1348" t="s">
        <v>3292</v>
      </c>
      <c r="AF3" s="1348" t="s">
        <v>3293</v>
      </c>
      <c r="AG3" s="1348" t="s">
        <v>3294</v>
      </c>
      <c r="AH3" s="1346"/>
      <c r="AI3" s="1349"/>
      <c r="AK3" s="1066"/>
      <c r="AN3" s="1357" t="s">
        <v>200</v>
      </c>
      <c r="AO3" s="1359"/>
    </row>
    <row r="4" spans="2:41" ht="25.5">
      <c r="B4" s="651" t="s">
        <v>198</v>
      </c>
      <c r="C4" s="652" t="s">
        <v>197</v>
      </c>
      <c r="D4" s="653"/>
      <c r="E4" s="654" t="s">
        <v>196</v>
      </c>
      <c r="F4" s="656" t="s">
        <v>75</v>
      </c>
      <c r="I4" s="1350"/>
      <c r="J4" s="1350"/>
      <c r="K4" s="1350"/>
      <c r="L4" s="1350"/>
      <c r="M4" s="1351"/>
      <c r="N4" s="1351"/>
      <c r="O4" s="1351"/>
      <c r="P4" s="1351"/>
      <c r="Q4" s="1351"/>
      <c r="R4" s="1351"/>
      <c r="S4" s="1351"/>
      <c r="T4" s="1351"/>
      <c r="U4" s="1352"/>
      <c r="V4" s="1352"/>
      <c r="W4" s="1352"/>
      <c r="X4" s="1352"/>
      <c r="Y4" s="1341"/>
      <c r="Z4" s="1342"/>
      <c r="AA4" s="1342"/>
      <c r="AB4" s="1342"/>
      <c r="AC4" s="1342"/>
      <c r="AD4" s="1348"/>
      <c r="AE4" s="1348"/>
      <c r="AF4" s="1348"/>
      <c r="AG4" s="1348"/>
      <c r="AH4" s="1347"/>
      <c r="AI4" s="1349"/>
      <c r="AK4" s="651" t="s">
        <v>198</v>
      </c>
      <c r="AL4" s="652" t="s">
        <v>197</v>
      </c>
      <c r="AM4" s="653"/>
      <c r="AN4" s="654" t="s">
        <v>196</v>
      </c>
      <c r="AO4" s="656" t="s">
        <v>75</v>
      </c>
    </row>
    <row r="5" spans="2:41">
      <c r="B5" s="645">
        <v>0.1</v>
      </c>
      <c r="C5" s="646" t="s">
        <v>3301</v>
      </c>
      <c r="D5" s="647">
        <v>0</v>
      </c>
      <c r="E5" s="348">
        <f>AH5</f>
        <v>15</v>
      </c>
      <c r="F5" s="352">
        <v>1</v>
      </c>
      <c r="H5" s="1353" t="s">
        <v>3299</v>
      </c>
      <c r="I5" s="1044">
        <v>1</v>
      </c>
      <c r="J5" s="1044">
        <f>70*0.036</f>
        <v>2.52</v>
      </c>
      <c r="K5" s="1045" t="s">
        <v>3295</v>
      </c>
      <c r="L5" s="1046">
        <f>+I5*J5</f>
        <v>2.52</v>
      </c>
      <c r="M5" s="1047"/>
      <c r="N5" s="1048">
        <f>45*0.036</f>
        <v>1.6199999999999999</v>
      </c>
      <c r="O5" s="1049" t="s">
        <v>2880</v>
      </c>
      <c r="P5" s="1050">
        <f>+M5*N5</f>
        <v>0</v>
      </c>
      <c r="Q5" s="1047"/>
      <c r="R5" s="1048">
        <f>25*0.036</f>
        <v>0.89999999999999991</v>
      </c>
      <c r="S5" s="1049" t="s">
        <v>2908</v>
      </c>
      <c r="T5" s="1051">
        <f>+Q5*R5</f>
        <v>0</v>
      </c>
      <c r="U5" s="1052"/>
      <c r="V5" s="1053">
        <f>60*0.036</f>
        <v>2.1599999999999997</v>
      </c>
      <c r="W5" s="1054" t="s">
        <v>2911</v>
      </c>
      <c r="X5" s="1055">
        <f>+U5*V5</f>
        <v>0</v>
      </c>
      <c r="Y5" s="1065">
        <v>2</v>
      </c>
      <c r="Z5" s="1057">
        <v>1</v>
      </c>
      <c r="AA5" s="1058">
        <f>40*0.036+55*0.036</f>
        <v>3.42</v>
      </c>
      <c r="AB5" s="1058" t="s">
        <v>2994</v>
      </c>
      <c r="AC5" s="1056">
        <f>+Z5*AA5</f>
        <v>3.42</v>
      </c>
      <c r="AD5" s="1059">
        <v>2</v>
      </c>
      <c r="AE5" s="1060">
        <f>85*0.036</f>
        <v>3.0599999999999996</v>
      </c>
      <c r="AF5" s="1061" t="s">
        <v>3067</v>
      </c>
      <c r="AG5" s="1062">
        <f>+AD5*AE5</f>
        <v>6.1199999999999992</v>
      </c>
      <c r="AH5" s="172">
        <f>+ROUNDUP((X5+T5+L5+Y5+AC5+AG5)/5,0)*5</f>
        <v>15</v>
      </c>
      <c r="AI5" s="1063" t="s">
        <v>3300</v>
      </c>
      <c r="AK5" s="645">
        <v>0.1</v>
      </c>
      <c r="AL5" s="646" t="s">
        <v>195</v>
      </c>
      <c r="AM5" s="647">
        <v>0</v>
      </c>
      <c r="AN5" s="348">
        <v>6</v>
      </c>
      <c r="AO5" s="352">
        <v>1</v>
      </c>
    </row>
    <row r="6" spans="2:41">
      <c r="B6" s="645">
        <v>1</v>
      </c>
      <c r="C6" s="646" t="s">
        <v>193</v>
      </c>
      <c r="D6" s="647">
        <v>0.5</v>
      </c>
      <c r="E6" s="348">
        <f>AH6</f>
        <v>20</v>
      </c>
      <c r="F6" s="352">
        <v>1</v>
      </c>
      <c r="H6" s="1353"/>
      <c r="I6" s="1044">
        <v>1</v>
      </c>
      <c r="J6" s="1044">
        <f>85*0.036</f>
        <v>3.0599999999999996</v>
      </c>
      <c r="K6" s="1045" t="s">
        <v>2843</v>
      </c>
      <c r="L6" s="1046">
        <f>+I6*J6</f>
        <v>3.0599999999999996</v>
      </c>
      <c r="M6" s="1047"/>
      <c r="N6" s="1048">
        <f>45*0.036</f>
        <v>1.6199999999999999</v>
      </c>
      <c r="O6" s="1049" t="s">
        <v>2880</v>
      </c>
      <c r="P6" s="1050">
        <f>+M6*N6</f>
        <v>0</v>
      </c>
      <c r="Q6" s="1047">
        <v>2</v>
      </c>
      <c r="R6" s="1048">
        <f>25*0.036</f>
        <v>0.89999999999999991</v>
      </c>
      <c r="S6" s="1049" t="s">
        <v>2908</v>
      </c>
      <c r="T6" s="1051">
        <f>+Q6*R6</f>
        <v>1.7999999999999998</v>
      </c>
      <c r="U6" s="1052"/>
      <c r="V6" s="1053">
        <f>60*0.036</f>
        <v>2.1599999999999997</v>
      </c>
      <c r="W6" s="1054" t="s">
        <v>2911</v>
      </c>
      <c r="X6" s="1055">
        <f>+U6*V6</f>
        <v>0</v>
      </c>
      <c r="Y6" s="1065">
        <v>2</v>
      </c>
      <c r="Z6" s="1057">
        <v>1</v>
      </c>
      <c r="AA6" s="1058">
        <f>40*0.036+55*0.036</f>
        <v>3.42</v>
      </c>
      <c r="AB6" s="1058" t="s">
        <v>2994</v>
      </c>
      <c r="AC6" s="1056">
        <f>+Z6*AA6</f>
        <v>3.42</v>
      </c>
      <c r="AD6" s="1059">
        <v>2</v>
      </c>
      <c r="AE6" s="1060">
        <f>135*0.036</f>
        <v>4.8599999999999994</v>
      </c>
      <c r="AF6" s="1061" t="s">
        <v>3070</v>
      </c>
      <c r="AG6" s="1062">
        <f>+AD6*AE6</f>
        <v>9.7199999999999989</v>
      </c>
      <c r="AH6" s="172">
        <f>+ROUNDUP((X6+T6+L6+Y6+AC6+AG6)/5,0)*5</f>
        <v>20</v>
      </c>
      <c r="AI6" s="1063" t="s">
        <v>3300</v>
      </c>
      <c r="AK6" s="645">
        <v>0.5</v>
      </c>
      <c r="AL6" s="646" t="s">
        <v>194</v>
      </c>
      <c r="AM6" s="647">
        <v>0.1</v>
      </c>
      <c r="AN6" s="348">
        <v>12</v>
      </c>
      <c r="AO6" s="352">
        <v>1</v>
      </c>
    </row>
    <row r="7" spans="2:41">
      <c r="B7" s="645">
        <v>5</v>
      </c>
      <c r="C7" s="646" t="s">
        <v>3302</v>
      </c>
      <c r="D7" s="647">
        <v>1</v>
      </c>
      <c r="E7" s="348">
        <f>AH7</f>
        <v>35</v>
      </c>
      <c r="F7" s="352">
        <v>1</v>
      </c>
      <c r="H7" s="1353"/>
      <c r="I7" s="1044">
        <v>1</v>
      </c>
      <c r="J7" s="1044">
        <f>85*0.036</f>
        <v>3.0599999999999996</v>
      </c>
      <c r="K7" s="1045" t="s">
        <v>2843</v>
      </c>
      <c r="L7" s="1046">
        <f>+I7*J7</f>
        <v>3.0599999999999996</v>
      </c>
      <c r="M7" s="1047">
        <v>1</v>
      </c>
      <c r="N7" s="1048">
        <f>45*0.036</f>
        <v>1.6199999999999999</v>
      </c>
      <c r="O7" s="1049" t="s">
        <v>2880</v>
      </c>
      <c r="P7" s="1050">
        <f>+M7*N7</f>
        <v>1.6199999999999999</v>
      </c>
      <c r="Q7" s="1047">
        <v>4</v>
      </c>
      <c r="R7" s="1048">
        <f>25*0.036</f>
        <v>0.89999999999999991</v>
      </c>
      <c r="S7" s="1049" t="s">
        <v>2908</v>
      </c>
      <c r="T7" s="1051">
        <f>+Q7*R7</f>
        <v>3.5999999999999996</v>
      </c>
      <c r="U7" s="1052">
        <v>1</v>
      </c>
      <c r="V7" s="1053">
        <f>60*0.036</f>
        <v>2.1599999999999997</v>
      </c>
      <c r="W7" s="1054" t="s">
        <v>2911</v>
      </c>
      <c r="X7" s="1055">
        <f>+U7*V7</f>
        <v>2.1599999999999997</v>
      </c>
      <c r="Y7" s="1065">
        <v>3</v>
      </c>
      <c r="Z7" s="1057">
        <v>1</v>
      </c>
      <c r="AA7" s="1058">
        <f>145*0.036+55*0.036</f>
        <v>7.1999999999999993</v>
      </c>
      <c r="AB7" s="1064" t="s">
        <v>2997</v>
      </c>
      <c r="AC7" s="1056">
        <f>+Z7*AA7</f>
        <v>7.1999999999999993</v>
      </c>
      <c r="AD7" s="1059">
        <v>3</v>
      </c>
      <c r="AE7" s="1060">
        <f>135*0.036</f>
        <v>4.8599999999999994</v>
      </c>
      <c r="AF7" s="1061" t="s">
        <v>3070</v>
      </c>
      <c r="AG7" s="1062">
        <f>+AD7*AE7</f>
        <v>14.579999999999998</v>
      </c>
      <c r="AH7" s="172">
        <f>+ROUNDUP((X7+T7+L7+Y7+AC7+AG7)/5,0)*5</f>
        <v>35</v>
      </c>
      <c r="AI7" s="1063" t="s">
        <v>3300</v>
      </c>
      <c r="AK7" s="645">
        <v>1</v>
      </c>
      <c r="AL7" s="646" t="s">
        <v>193</v>
      </c>
      <c r="AM7" s="647">
        <v>0.5</v>
      </c>
      <c r="AN7" s="348">
        <v>16</v>
      </c>
      <c r="AO7" s="352">
        <v>1</v>
      </c>
    </row>
    <row r="8" spans="2:41">
      <c r="B8" s="645">
        <v>10</v>
      </c>
      <c r="C8" s="646" t="s">
        <v>3303</v>
      </c>
      <c r="D8" s="647">
        <v>8</v>
      </c>
      <c r="E8" s="348">
        <f>AH8</f>
        <v>55</v>
      </c>
      <c r="F8" s="352">
        <v>1</v>
      </c>
      <c r="H8" s="1353"/>
      <c r="I8" s="1044">
        <v>1</v>
      </c>
      <c r="J8" s="1044">
        <f>160*0.036</f>
        <v>5.76</v>
      </c>
      <c r="K8" s="1045" t="s">
        <v>2844</v>
      </c>
      <c r="L8" s="1046">
        <f>+I8*J8</f>
        <v>5.76</v>
      </c>
      <c r="M8" s="1047">
        <v>1</v>
      </c>
      <c r="N8" s="1048">
        <f>45*0.036</f>
        <v>1.6199999999999999</v>
      </c>
      <c r="O8" s="1049" t="s">
        <v>2880</v>
      </c>
      <c r="P8" s="1050">
        <f>+M8*N8</f>
        <v>1.6199999999999999</v>
      </c>
      <c r="Q8" s="1047">
        <v>8</v>
      </c>
      <c r="R8" s="1048">
        <f>25*0.036</f>
        <v>0.89999999999999991</v>
      </c>
      <c r="S8" s="1049" t="s">
        <v>2908</v>
      </c>
      <c r="T8" s="1051">
        <f>+Q8*R8</f>
        <v>7.1999999999999993</v>
      </c>
      <c r="U8" s="1052">
        <v>1</v>
      </c>
      <c r="V8" s="1053">
        <f>60*0.036</f>
        <v>2.1599999999999997</v>
      </c>
      <c r="W8" s="1054" t="s">
        <v>2911</v>
      </c>
      <c r="X8" s="1055">
        <f>+U8*V8</f>
        <v>2.1599999999999997</v>
      </c>
      <c r="Y8" s="1065">
        <v>3</v>
      </c>
      <c r="Z8" s="1058">
        <v>2</v>
      </c>
      <c r="AA8" s="1058">
        <f>145*0.036+55*0.036</f>
        <v>7.1999999999999993</v>
      </c>
      <c r="AB8" s="1064" t="s">
        <v>2997</v>
      </c>
      <c r="AC8" s="1056">
        <f>+Z8*AA8</f>
        <v>14.399999999999999</v>
      </c>
      <c r="AD8" s="1059">
        <v>4</v>
      </c>
      <c r="AE8" s="1060">
        <f>135*0.036</f>
        <v>4.8599999999999994</v>
      </c>
      <c r="AF8" s="1061" t="s">
        <v>3070</v>
      </c>
      <c r="AG8" s="1062">
        <f>+AD8*AE8</f>
        <v>19.439999999999998</v>
      </c>
      <c r="AH8" s="172">
        <f>+ROUNDUP((X8+T8+L8+Y8+AC8+AG8)/5,0)*5</f>
        <v>55</v>
      </c>
      <c r="AI8" s="1063" t="s">
        <v>3300</v>
      </c>
      <c r="AK8" s="645">
        <v>5</v>
      </c>
      <c r="AL8" s="646" t="s">
        <v>192</v>
      </c>
      <c r="AM8" s="647">
        <v>1</v>
      </c>
      <c r="AN8" s="348">
        <v>30</v>
      </c>
      <c r="AO8" s="352">
        <v>1</v>
      </c>
    </row>
    <row r="9" spans="2:41" ht="13.5" thickBot="1">
      <c r="B9" s="648">
        <v>22</v>
      </c>
      <c r="C9" s="649" t="s">
        <v>3304</v>
      </c>
      <c r="D9" s="650">
        <v>22</v>
      </c>
      <c r="E9" s="350">
        <f>AH9</f>
        <v>130</v>
      </c>
      <c r="F9" s="353">
        <v>1</v>
      </c>
      <c r="H9" s="1353"/>
      <c r="I9" s="1044">
        <v>2</v>
      </c>
      <c r="J9" s="1044">
        <f>160*0.036</f>
        <v>5.76</v>
      </c>
      <c r="K9" s="1045" t="s">
        <v>2844</v>
      </c>
      <c r="L9" s="1046">
        <f>+I9*J9</f>
        <v>11.52</v>
      </c>
      <c r="M9" s="1047">
        <v>2</v>
      </c>
      <c r="N9" s="1048">
        <f>45*0.036</f>
        <v>1.6199999999999999</v>
      </c>
      <c r="O9" s="1049" t="s">
        <v>2880</v>
      </c>
      <c r="P9" s="1050">
        <f>+M9*N9</f>
        <v>3.2399999999999998</v>
      </c>
      <c r="Q9" s="1047">
        <v>10</v>
      </c>
      <c r="R9" s="1048">
        <f>25*0.036</f>
        <v>0.89999999999999991</v>
      </c>
      <c r="S9" s="1049" t="s">
        <v>2908</v>
      </c>
      <c r="T9" s="1051">
        <f>+Q9*R9</f>
        <v>9</v>
      </c>
      <c r="U9" s="1052">
        <v>2</v>
      </c>
      <c r="V9" s="1053">
        <f>60*0.036</f>
        <v>2.1599999999999997</v>
      </c>
      <c r="W9" s="1054" t="s">
        <v>2911</v>
      </c>
      <c r="X9" s="1055">
        <f>+U9*V9</f>
        <v>4.3199999999999994</v>
      </c>
      <c r="Y9" s="1065">
        <v>5</v>
      </c>
      <c r="Z9" s="1058">
        <v>3</v>
      </c>
      <c r="AA9" s="1058">
        <f>145*0.036+55*0.036</f>
        <v>7.1999999999999993</v>
      </c>
      <c r="AB9" s="1064" t="s">
        <v>2997</v>
      </c>
      <c r="AC9" s="1056">
        <f>+Z9*AA9</f>
        <v>21.599999999999998</v>
      </c>
      <c r="AD9" s="1059">
        <v>3</v>
      </c>
      <c r="AE9" s="1059">
        <f>(650+55)*0.036</f>
        <v>25.38</v>
      </c>
      <c r="AF9" s="1061" t="s">
        <v>3064</v>
      </c>
      <c r="AG9" s="1062">
        <f>+AD9*AE9</f>
        <v>76.14</v>
      </c>
      <c r="AH9" s="172">
        <f>+ROUNDUP((X9+T9+L9+Y9+AC9+AG9)/5,0)*5</f>
        <v>130</v>
      </c>
      <c r="AI9" s="1063" t="s">
        <v>3300</v>
      </c>
      <c r="AK9" s="645">
        <v>10</v>
      </c>
      <c r="AL9" s="646" t="s">
        <v>191</v>
      </c>
      <c r="AM9" s="647">
        <v>5</v>
      </c>
      <c r="AN9" s="348">
        <v>60</v>
      </c>
      <c r="AO9" s="352">
        <v>1</v>
      </c>
    </row>
    <row r="10" spans="2:41">
      <c r="AK10" s="645">
        <v>50</v>
      </c>
      <c r="AL10" s="646" t="s">
        <v>190</v>
      </c>
      <c r="AM10" s="647">
        <v>10</v>
      </c>
      <c r="AN10" s="348">
        <v>120</v>
      </c>
      <c r="AO10" s="352">
        <v>1</v>
      </c>
    </row>
    <row r="11" spans="2:41">
      <c r="AK11" s="645">
        <v>100</v>
      </c>
      <c r="AL11" s="646" t="s">
        <v>189</v>
      </c>
      <c r="AM11" s="647">
        <v>50</v>
      </c>
      <c r="AN11" s="348">
        <v>360</v>
      </c>
      <c r="AO11" s="352">
        <v>2</v>
      </c>
    </row>
    <row r="12" spans="2:41">
      <c r="AK12" s="645">
        <v>500</v>
      </c>
      <c r="AL12" s="646" t="s">
        <v>188</v>
      </c>
      <c r="AM12" s="647">
        <v>100</v>
      </c>
      <c r="AN12" s="348">
        <v>720</v>
      </c>
      <c r="AO12" s="352">
        <v>2</v>
      </c>
    </row>
    <row r="13" spans="2:41">
      <c r="AK13" s="645">
        <v>1000</v>
      </c>
      <c r="AL13" s="646" t="s">
        <v>187</v>
      </c>
      <c r="AM13" s="647">
        <v>500</v>
      </c>
      <c r="AN13" s="348">
        <v>1800</v>
      </c>
      <c r="AO13" s="352">
        <v>2</v>
      </c>
    </row>
    <row r="14" spans="2:41">
      <c r="AK14" s="645">
        <v>5000</v>
      </c>
      <c r="AL14" s="646" t="s">
        <v>186</v>
      </c>
      <c r="AM14" s="647">
        <v>1000</v>
      </c>
      <c r="AN14" s="348">
        <v>3600</v>
      </c>
      <c r="AO14" s="352">
        <v>3</v>
      </c>
    </row>
    <row r="15" spans="2:41">
      <c r="AK15" s="645">
        <v>10000</v>
      </c>
      <c r="AL15" s="646" t="s">
        <v>185</v>
      </c>
      <c r="AM15" s="647">
        <v>5000</v>
      </c>
      <c r="AN15" s="348">
        <v>7200</v>
      </c>
      <c r="AO15" s="352">
        <v>3</v>
      </c>
    </row>
    <row r="16" spans="2:41">
      <c r="AK16" s="645">
        <v>100000</v>
      </c>
      <c r="AL16" s="646" t="s">
        <v>184</v>
      </c>
      <c r="AM16" s="647">
        <v>10000</v>
      </c>
      <c r="AN16" s="348">
        <v>12600</v>
      </c>
      <c r="AO16" s="352">
        <v>3</v>
      </c>
    </row>
    <row r="17" spans="2:41" ht="13.5" thickBot="1">
      <c r="AK17" s="648"/>
      <c r="AL17" s="649"/>
      <c r="AM17" s="650">
        <v>100000</v>
      </c>
      <c r="AN17" s="350"/>
      <c r="AO17" s="353"/>
    </row>
    <row r="18" spans="2:41" ht="51.75">
      <c r="I18" s="1354" t="s">
        <v>3283</v>
      </c>
      <c r="J18" s="1354"/>
      <c r="K18" s="1354"/>
      <c r="L18" s="1354"/>
      <c r="M18" s="1355" t="s">
        <v>3284</v>
      </c>
      <c r="N18" s="1355"/>
      <c r="O18" s="1355"/>
      <c r="P18" s="1355"/>
      <c r="Q18" s="1355" t="s">
        <v>3285</v>
      </c>
      <c r="R18" s="1355"/>
      <c r="S18" s="1355"/>
      <c r="T18" s="1355"/>
      <c r="U18" s="1356" t="s">
        <v>3286</v>
      </c>
      <c r="V18" s="1356"/>
      <c r="W18" s="1356"/>
      <c r="X18" s="1356"/>
      <c r="Y18" s="1071" t="s">
        <v>3298</v>
      </c>
      <c r="Z18" s="1343" t="s">
        <v>3287</v>
      </c>
      <c r="AA18" s="1343"/>
      <c r="AB18" s="1343"/>
      <c r="AC18" s="1343"/>
      <c r="AD18" s="1344" t="s">
        <v>3288</v>
      </c>
      <c r="AE18" s="1344"/>
      <c r="AF18" s="1344"/>
      <c r="AG18" s="1344"/>
      <c r="AH18" s="1345" t="s">
        <v>3289</v>
      </c>
      <c r="AI18" s="1349" t="s">
        <v>3290</v>
      </c>
      <c r="AK18" s="1066"/>
      <c r="AO18" s="1067"/>
    </row>
    <row r="19" spans="2:41" ht="13.5" thickBot="1">
      <c r="E19" s="1357" t="s">
        <v>199</v>
      </c>
      <c r="F19" s="1358"/>
      <c r="I19" s="1350" t="s">
        <v>3291</v>
      </c>
      <c r="J19" s="1350" t="s">
        <v>3292</v>
      </c>
      <c r="K19" s="1350" t="s">
        <v>3293</v>
      </c>
      <c r="L19" s="1350" t="s">
        <v>3294</v>
      </c>
      <c r="M19" s="1351" t="s">
        <v>3291</v>
      </c>
      <c r="N19" s="1351" t="s">
        <v>3292</v>
      </c>
      <c r="O19" s="1351" t="s">
        <v>3293</v>
      </c>
      <c r="P19" s="1351" t="s">
        <v>3294</v>
      </c>
      <c r="Q19" s="1351" t="s">
        <v>3291</v>
      </c>
      <c r="R19" s="1351" t="s">
        <v>3292</v>
      </c>
      <c r="S19" s="1351" t="s">
        <v>3293</v>
      </c>
      <c r="T19" s="1351" t="s">
        <v>3294</v>
      </c>
      <c r="U19" s="1352" t="s">
        <v>3291</v>
      </c>
      <c r="V19" s="1352" t="s">
        <v>3292</v>
      </c>
      <c r="W19" s="1352" t="s">
        <v>3293</v>
      </c>
      <c r="X19" s="1352" t="s">
        <v>3294</v>
      </c>
      <c r="Y19" s="1341" t="s">
        <v>3294</v>
      </c>
      <c r="Z19" s="1342" t="s">
        <v>3291</v>
      </c>
      <c r="AA19" s="1342" t="s">
        <v>3292</v>
      </c>
      <c r="AB19" s="1342" t="s">
        <v>3293</v>
      </c>
      <c r="AC19" s="1342" t="s">
        <v>3294</v>
      </c>
      <c r="AD19" s="1348" t="s">
        <v>3291</v>
      </c>
      <c r="AE19" s="1348" t="s">
        <v>3292</v>
      </c>
      <c r="AF19" s="1348" t="s">
        <v>3293</v>
      </c>
      <c r="AG19" s="1348" t="s">
        <v>3294</v>
      </c>
      <c r="AH19" s="1346"/>
      <c r="AI19" s="1349"/>
      <c r="AK19" s="1066"/>
      <c r="AN19" s="1357" t="s">
        <v>199</v>
      </c>
      <c r="AO19" s="1359"/>
    </row>
    <row r="20" spans="2:41" ht="25.5">
      <c r="B20" s="651" t="s">
        <v>198</v>
      </c>
      <c r="C20" s="652" t="s">
        <v>197</v>
      </c>
      <c r="D20" s="653"/>
      <c r="E20" s="654" t="s">
        <v>196</v>
      </c>
      <c r="F20" s="655" t="s">
        <v>75</v>
      </c>
      <c r="I20" s="1350"/>
      <c r="J20" s="1350"/>
      <c r="K20" s="1350"/>
      <c r="L20" s="1350"/>
      <c r="M20" s="1351"/>
      <c r="N20" s="1351"/>
      <c r="O20" s="1351"/>
      <c r="P20" s="1351"/>
      <c r="Q20" s="1351"/>
      <c r="R20" s="1351"/>
      <c r="S20" s="1351"/>
      <c r="T20" s="1351"/>
      <c r="U20" s="1352"/>
      <c r="V20" s="1352"/>
      <c r="W20" s="1352"/>
      <c r="X20" s="1352"/>
      <c r="Y20" s="1341"/>
      <c r="Z20" s="1342"/>
      <c r="AA20" s="1342"/>
      <c r="AB20" s="1342"/>
      <c r="AC20" s="1342"/>
      <c r="AD20" s="1348"/>
      <c r="AE20" s="1348"/>
      <c r="AF20" s="1348"/>
      <c r="AG20" s="1348"/>
      <c r="AH20" s="1347"/>
      <c r="AI20" s="1349"/>
      <c r="AK20" s="651" t="s">
        <v>198</v>
      </c>
      <c r="AL20" s="652" t="s">
        <v>197</v>
      </c>
      <c r="AM20" s="653"/>
      <c r="AN20" s="654" t="s">
        <v>196</v>
      </c>
      <c r="AO20" s="656" t="s">
        <v>75</v>
      </c>
    </row>
    <row r="21" spans="2:41">
      <c r="B21" s="645">
        <v>0.1</v>
      </c>
      <c r="C21" s="646" t="s">
        <v>3301</v>
      </c>
      <c r="D21" s="647">
        <v>0</v>
      </c>
      <c r="E21" s="348">
        <f>AH21</f>
        <v>3</v>
      </c>
      <c r="F21" s="349">
        <v>1</v>
      </c>
      <c r="H21" s="1353" t="s">
        <v>3299</v>
      </c>
      <c r="I21" s="1044">
        <v>1</v>
      </c>
      <c r="J21" s="1044">
        <f>70*0.036</f>
        <v>2.52</v>
      </c>
      <c r="K21" s="1045" t="s">
        <v>3295</v>
      </c>
      <c r="L21" s="1046">
        <f>+I21*J21</f>
        <v>2.52</v>
      </c>
      <c r="M21" s="1047"/>
      <c r="N21" s="1048">
        <f>45*0.036</f>
        <v>1.6199999999999999</v>
      </c>
      <c r="O21" s="1049" t="s">
        <v>2880</v>
      </c>
      <c r="P21" s="1050">
        <f>+M21*N21</f>
        <v>0</v>
      </c>
      <c r="Q21" s="1047"/>
      <c r="R21" s="1048">
        <f>25*0.036</f>
        <v>0.89999999999999991</v>
      </c>
      <c r="S21" s="1049" t="s">
        <v>2908</v>
      </c>
      <c r="T21" s="1051">
        <f>+Q21*R21</f>
        <v>0</v>
      </c>
      <c r="U21" s="1052"/>
      <c r="V21" s="1053">
        <f>60*0.036</f>
        <v>2.1599999999999997</v>
      </c>
      <c r="W21" s="1054" t="s">
        <v>2911</v>
      </c>
      <c r="X21" s="1055">
        <f>+U21*V21</f>
        <v>0</v>
      </c>
      <c r="Y21" s="1065"/>
      <c r="Z21" s="1057"/>
      <c r="AA21" s="1058"/>
      <c r="AB21" s="1058"/>
      <c r="AC21" s="1056"/>
      <c r="AD21" s="1059"/>
      <c r="AE21" s="1060"/>
      <c r="AF21" s="1061"/>
      <c r="AG21" s="1062"/>
      <c r="AH21" s="172">
        <f>+ROUNDUP(X21+T21+L21+Y21+AC21+AG21,0)</f>
        <v>3</v>
      </c>
      <c r="AI21" s="1063" t="s">
        <v>3296</v>
      </c>
      <c r="AK21" s="645">
        <v>0.1</v>
      </c>
      <c r="AL21" s="646" t="s">
        <v>195</v>
      </c>
      <c r="AM21" s="647">
        <v>0</v>
      </c>
      <c r="AN21" s="348">
        <v>3</v>
      </c>
      <c r="AO21" s="352">
        <v>1</v>
      </c>
    </row>
    <row r="22" spans="2:41">
      <c r="B22" s="645">
        <v>1</v>
      </c>
      <c r="C22" s="646" t="s">
        <v>193</v>
      </c>
      <c r="D22" s="647">
        <v>0.5</v>
      </c>
      <c r="E22" s="348">
        <f>AH22</f>
        <v>5</v>
      </c>
      <c r="F22" s="349">
        <v>1</v>
      </c>
      <c r="H22" s="1353"/>
      <c r="I22" s="1044">
        <v>1</v>
      </c>
      <c r="J22" s="1044">
        <f>85*0.036</f>
        <v>3.0599999999999996</v>
      </c>
      <c r="K22" s="1045" t="s">
        <v>2843</v>
      </c>
      <c r="L22" s="1046">
        <f>+I22*J22</f>
        <v>3.0599999999999996</v>
      </c>
      <c r="M22" s="1047"/>
      <c r="N22" s="1048">
        <f>45*0.036</f>
        <v>1.6199999999999999</v>
      </c>
      <c r="O22" s="1049" t="s">
        <v>2880</v>
      </c>
      <c r="P22" s="1050">
        <f>+M22*N22</f>
        <v>0</v>
      </c>
      <c r="Q22" s="1047">
        <v>2</v>
      </c>
      <c r="R22" s="1048">
        <f>25*0.036</f>
        <v>0.89999999999999991</v>
      </c>
      <c r="S22" s="1049" t="s">
        <v>2908</v>
      </c>
      <c r="T22" s="1051">
        <f>+Q22*R22</f>
        <v>1.7999999999999998</v>
      </c>
      <c r="U22" s="1052"/>
      <c r="V22" s="1053">
        <f>60*0.036</f>
        <v>2.1599999999999997</v>
      </c>
      <c r="W22" s="1054" t="s">
        <v>2911</v>
      </c>
      <c r="X22" s="1055">
        <f>+U22*V22</f>
        <v>0</v>
      </c>
      <c r="Y22" s="1065"/>
      <c r="Z22" s="1057"/>
      <c r="AA22" s="1058"/>
      <c r="AB22" s="1064"/>
      <c r="AC22" s="1056"/>
      <c r="AD22" s="1059"/>
      <c r="AE22" s="1060"/>
      <c r="AF22" s="1061"/>
      <c r="AG22" s="1062"/>
      <c r="AH22" s="172">
        <f>+ROUNDUP(X22+T22+L22+Y22+AC22+AG22,0)</f>
        <v>5</v>
      </c>
      <c r="AI22" s="1063" t="s">
        <v>3296</v>
      </c>
      <c r="AK22" s="645">
        <v>0.5</v>
      </c>
      <c r="AL22" s="646" t="s">
        <v>194</v>
      </c>
      <c r="AM22" s="647">
        <v>0.1</v>
      </c>
      <c r="AN22" s="348">
        <v>6</v>
      </c>
      <c r="AO22" s="352">
        <v>1</v>
      </c>
    </row>
    <row r="23" spans="2:41">
      <c r="B23" s="645">
        <v>5</v>
      </c>
      <c r="C23" s="646" t="s">
        <v>3302</v>
      </c>
      <c r="D23" s="647">
        <v>1</v>
      </c>
      <c r="E23" s="348">
        <f>AH23</f>
        <v>9</v>
      </c>
      <c r="F23" s="349">
        <v>1</v>
      </c>
      <c r="H23" s="1353"/>
      <c r="I23" s="1044">
        <v>1</v>
      </c>
      <c r="J23" s="1044">
        <f>85*0.036</f>
        <v>3.0599999999999996</v>
      </c>
      <c r="K23" s="1045" t="s">
        <v>2843</v>
      </c>
      <c r="L23" s="1046">
        <f>+I23*J23</f>
        <v>3.0599999999999996</v>
      </c>
      <c r="M23" s="1047">
        <v>1</v>
      </c>
      <c r="N23" s="1048">
        <f>45*0.036</f>
        <v>1.6199999999999999</v>
      </c>
      <c r="O23" s="1049" t="s">
        <v>2880</v>
      </c>
      <c r="P23" s="1050">
        <f>+M23*N23</f>
        <v>1.6199999999999999</v>
      </c>
      <c r="Q23" s="1047">
        <v>4</v>
      </c>
      <c r="R23" s="1048">
        <f>25*0.036</f>
        <v>0.89999999999999991</v>
      </c>
      <c r="S23" s="1049" t="s">
        <v>2908</v>
      </c>
      <c r="T23" s="1051">
        <f>+Q23*R23</f>
        <v>3.5999999999999996</v>
      </c>
      <c r="U23" s="1052">
        <v>1</v>
      </c>
      <c r="V23" s="1053">
        <f>60*0.036</f>
        <v>2.1599999999999997</v>
      </c>
      <c r="W23" s="1054" t="s">
        <v>2911</v>
      </c>
      <c r="X23" s="1055">
        <f>+U23*V23</f>
        <v>2.1599999999999997</v>
      </c>
      <c r="Y23" s="1065"/>
      <c r="Z23" s="1057"/>
      <c r="AA23" s="1058"/>
      <c r="AB23" s="1064"/>
      <c r="AC23" s="1056"/>
      <c r="AD23" s="1059"/>
      <c r="AE23" s="1060"/>
      <c r="AF23" s="1061"/>
      <c r="AG23" s="1062"/>
      <c r="AH23" s="172">
        <f>+ROUNDUP(X23+T23+L23+Y23+AC23+AG23,0)</f>
        <v>9</v>
      </c>
      <c r="AI23" s="1063" t="s">
        <v>3296</v>
      </c>
      <c r="AK23" s="645">
        <v>1</v>
      </c>
      <c r="AL23" s="646" t="s">
        <v>193</v>
      </c>
      <c r="AM23" s="647">
        <v>0.5</v>
      </c>
      <c r="AN23" s="348">
        <v>10</v>
      </c>
      <c r="AO23" s="352">
        <v>1</v>
      </c>
    </row>
    <row r="24" spans="2:41">
      <c r="B24" s="645">
        <v>10</v>
      </c>
      <c r="C24" s="646" t="s">
        <v>3303</v>
      </c>
      <c r="D24" s="647">
        <v>8</v>
      </c>
      <c r="E24" s="348">
        <f>AH24</f>
        <v>16</v>
      </c>
      <c r="F24" s="349">
        <v>1</v>
      </c>
      <c r="H24" s="1353"/>
      <c r="I24" s="1044">
        <v>1</v>
      </c>
      <c r="J24" s="1044">
        <f>160*0.036</f>
        <v>5.76</v>
      </c>
      <c r="K24" s="1045" t="s">
        <v>2844</v>
      </c>
      <c r="L24" s="1046">
        <f>+I24*J24</f>
        <v>5.76</v>
      </c>
      <c r="M24" s="1047">
        <v>1</v>
      </c>
      <c r="N24" s="1048">
        <f>45*0.036</f>
        <v>1.6199999999999999</v>
      </c>
      <c r="O24" s="1049" t="s">
        <v>2880</v>
      </c>
      <c r="P24" s="1050">
        <f>+M24*N24</f>
        <v>1.6199999999999999</v>
      </c>
      <c r="Q24" s="1047">
        <v>8</v>
      </c>
      <c r="R24" s="1048">
        <f>25*0.036</f>
        <v>0.89999999999999991</v>
      </c>
      <c r="S24" s="1049" t="s">
        <v>2908</v>
      </c>
      <c r="T24" s="1051">
        <f>+Q24*R24</f>
        <v>7.1999999999999993</v>
      </c>
      <c r="U24" s="1052">
        <v>1</v>
      </c>
      <c r="V24" s="1053">
        <f>60*0.036</f>
        <v>2.1599999999999997</v>
      </c>
      <c r="W24" s="1054" t="s">
        <v>2911</v>
      </c>
      <c r="X24" s="1055">
        <f>+U24*V24</f>
        <v>2.1599999999999997</v>
      </c>
      <c r="Y24" s="1065"/>
      <c r="Z24" s="1057"/>
      <c r="AA24" s="1058"/>
      <c r="AB24" s="1064"/>
      <c r="AC24" s="1056"/>
      <c r="AD24" s="1059"/>
      <c r="AE24" s="1060"/>
      <c r="AF24" s="1061"/>
      <c r="AG24" s="1062"/>
      <c r="AH24" s="172">
        <f>+ROUNDUP(X24+T24+L24+Y24+AC24+AG24,0)</f>
        <v>16</v>
      </c>
      <c r="AI24" s="1063" t="s">
        <v>3296</v>
      </c>
      <c r="AK24" s="645">
        <v>5</v>
      </c>
      <c r="AL24" s="646" t="s">
        <v>192</v>
      </c>
      <c r="AM24" s="647">
        <v>1</v>
      </c>
      <c r="AN24" s="348">
        <v>15</v>
      </c>
      <c r="AO24" s="352">
        <v>1</v>
      </c>
    </row>
    <row r="25" spans="2:41" ht="13.5" thickBot="1">
      <c r="B25" s="648">
        <v>22</v>
      </c>
      <c r="C25" s="649" t="s">
        <v>3304</v>
      </c>
      <c r="D25" s="650">
        <v>22</v>
      </c>
      <c r="E25" s="350">
        <f>AH25</f>
        <v>25</v>
      </c>
      <c r="F25" s="351">
        <v>1</v>
      </c>
      <c r="H25" s="1353"/>
      <c r="I25" s="1044">
        <v>2</v>
      </c>
      <c r="J25" s="1044">
        <f>160*0.036</f>
        <v>5.76</v>
      </c>
      <c r="K25" s="1045" t="s">
        <v>2844</v>
      </c>
      <c r="L25" s="1046">
        <f>+I25*J25</f>
        <v>11.52</v>
      </c>
      <c r="M25" s="1047">
        <v>2</v>
      </c>
      <c r="N25" s="1048">
        <f>45*0.036</f>
        <v>1.6199999999999999</v>
      </c>
      <c r="O25" s="1049" t="s">
        <v>2880</v>
      </c>
      <c r="P25" s="1050">
        <f>+M25*N25</f>
        <v>3.2399999999999998</v>
      </c>
      <c r="Q25" s="1047">
        <v>10</v>
      </c>
      <c r="R25" s="1048">
        <f>25*0.036</f>
        <v>0.89999999999999991</v>
      </c>
      <c r="S25" s="1049" t="s">
        <v>2908</v>
      </c>
      <c r="T25" s="1051">
        <f>+Q25*R25</f>
        <v>9</v>
      </c>
      <c r="U25" s="1052">
        <v>2</v>
      </c>
      <c r="V25" s="1053">
        <f>60*0.036</f>
        <v>2.1599999999999997</v>
      </c>
      <c r="W25" s="1054" t="s">
        <v>2911</v>
      </c>
      <c r="X25" s="1055">
        <f>+U25*V25</f>
        <v>4.3199999999999994</v>
      </c>
      <c r="Y25" s="1065"/>
      <c r="Z25" s="1057"/>
      <c r="AA25" s="1058"/>
      <c r="AB25" s="1064"/>
      <c r="AC25" s="1056"/>
      <c r="AD25" s="1059"/>
      <c r="AE25" s="1060"/>
      <c r="AF25" s="1061"/>
      <c r="AG25" s="1062"/>
      <c r="AH25" s="172">
        <f>+ROUNDUP(X25+T25+L25+Y25+AC25+AG25,0)</f>
        <v>25</v>
      </c>
      <c r="AI25" s="1063" t="s">
        <v>3296</v>
      </c>
      <c r="AK25" s="645">
        <v>10</v>
      </c>
      <c r="AL25" s="646" t="s">
        <v>191</v>
      </c>
      <c r="AM25" s="647">
        <v>5</v>
      </c>
      <c r="AN25" s="348">
        <v>30</v>
      </c>
      <c r="AO25" s="352">
        <v>1</v>
      </c>
    </row>
    <row r="26" spans="2:41">
      <c r="AK26" s="645">
        <v>50</v>
      </c>
      <c r="AL26" s="646" t="s">
        <v>190</v>
      </c>
      <c r="AM26" s="647">
        <v>10</v>
      </c>
      <c r="AN26" s="348">
        <v>45</v>
      </c>
      <c r="AO26" s="352">
        <v>1</v>
      </c>
    </row>
    <row r="27" spans="2:41">
      <c r="AK27" s="645">
        <v>100</v>
      </c>
      <c r="AL27" s="646" t="s">
        <v>189</v>
      </c>
      <c r="AM27" s="647">
        <v>50</v>
      </c>
      <c r="AN27" s="348">
        <v>90</v>
      </c>
      <c r="AO27" s="352">
        <v>1</v>
      </c>
    </row>
    <row r="28" spans="2:41">
      <c r="AK28" s="645">
        <v>500</v>
      </c>
      <c r="AL28" s="646" t="s">
        <v>188</v>
      </c>
      <c r="AM28" s="647">
        <v>100</v>
      </c>
      <c r="AN28" s="348">
        <v>180</v>
      </c>
      <c r="AO28" s="352">
        <v>1</v>
      </c>
    </row>
    <row r="29" spans="2:41">
      <c r="AK29" s="645">
        <v>1000</v>
      </c>
      <c r="AL29" s="646" t="s">
        <v>187</v>
      </c>
      <c r="AM29" s="647">
        <v>500</v>
      </c>
      <c r="AN29" s="348">
        <v>360</v>
      </c>
      <c r="AO29" s="352">
        <v>2</v>
      </c>
    </row>
    <row r="30" spans="2:41">
      <c r="AK30" s="645">
        <v>5000</v>
      </c>
      <c r="AL30" s="646" t="s">
        <v>186</v>
      </c>
      <c r="AM30" s="647">
        <v>1000</v>
      </c>
      <c r="AN30" s="348">
        <v>720</v>
      </c>
      <c r="AO30" s="352">
        <v>2</v>
      </c>
    </row>
    <row r="31" spans="2:41">
      <c r="AK31" s="645">
        <v>10000</v>
      </c>
      <c r="AL31" s="646" t="s">
        <v>185</v>
      </c>
      <c r="AM31" s="647">
        <v>5000</v>
      </c>
      <c r="AN31" s="348">
        <v>1200</v>
      </c>
      <c r="AO31" s="352">
        <v>3</v>
      </c>
    </row>
    <row r="32" spans="2:41">
      <c r="AK32" s="645">
        <v>100000</v>
      </c>
      <c r="AL32" s="646" t="s">
        <v>184</v>
      </c>
      <c r="AM32" s="647">
        <v>10000</v>
      </c>
      <c r="AN32" s="348">
        <v>1800</v>
      </c>
      <c r="AO32" s="352">
        <v>3</v>
      </c>
    </row>
    <row r="33" spans="37:41" ht="13.5" thickBot="1">
      <c r="AK33" s="648"/>
      <c r="AL33" s="649"/>
      <c r="AM33" s="650">
        <v>100000</v>
      </c>
      <c r="AN33" s="350"/>
      <c r="AO33" s="353"/>
    </row>
  </sheetData>
  <mergeCells count="72">
    <mergeCell ref="E19:F19"/>
    <mergeCell ref="E3:F3"/>
    <mergeCell ref="AN3:AO3"/>
    <mergeCell ref="AN19:AO19"/>
    <mergeCell ref="I18:L18"/>
    <mergeCell ref="M18:P18"/>
    <mergeCell ref="Q18:T18"/>
    <mergeCell ref="U18:X18"/>
    <mergeCell ref="Z18:AC18"/>
    <mergeCell ref="AD18:AG18"/>
    <mergeCell ref="AI18:AI20"/>
    <mergeCell ref="I19:I20"/>
    <mergeCell ref="J19:J20"/>
    <mergeCell ref="K19:K20"/>
    <mergeCell ref="L19:L20"/>
    <mergeCell ref="M19:M20"/>
    <mergeCell ref="Y19:Y20"/>
    <mergeCell ref="Z19:Z20"/>
    <mergeCell ref="AA19:AA20"/>
    <mergeCell ref="AB19:AB20"/>
    <mergeCell ref="S19:S20"/>
    <mergeCell ref="T19:T20"/>
    <mergeCell ref="U19:U20"/>
    <mergeCell ref="V19:V20"/>
    <mergeCell ref="W19:W20"/>
    <mergeCell ref="H21:H25"/>
    <mergeCell ref="I2:L2"/>
    <mergeCell ref="M2:P2"/>
    <mergeCell ref="Q2:T2"/>
    <mergeCell ref="U2:X2"/>
    <mergeCell ref="X19:X20"/>
    <mergeCell ref="N19:N20"/>
    <mergeCell ref="O19:O20"/>
    <mergeCell ref="P19:P20"/>
    <mergeCell ref="Q19:Q20"/>
    <mergeCell ref="R19:R20"/>
    <mergeCell ref="H5:H9"/>
    <mergeCell ref="V3:V4"/>
    <mergeCell ref="W3:W4"/>
    <mergeCell ref="X3:X4"/>
    <mergeCell ref="AI2:AI4"/>
    <mergeCell ref="I3:I4"/>
    <mergeCell ref="J3:J4"/>
    <mergeCell ref="K3:K4"/>
    <mergeCell ref="L3:L4"/>
    <mergeCell ref="M3:M4"/>
    <mergeCell ref="N3:N4"/>
    <mergeCell ref="O3:O4"/>
    <mergeCell ref="P3:P4"/>
    <mergeCell ref="Q3:Q4"/>
    <mergeCell ref="R3:R4"/>
    <mergeCell ref="S3:S4"/>
    <mergeCell ref="T3:T4"/>
    <mergeCell ref="U3:U4"/>
    <mergeCell ref="AF3:AF4"/>
    <mergeCell ref="AG3:AG4"/>
    <mergeCell ref="AH18:AH20"/>
    <mergeCell ref="AA3:AA4"/>
    <mergeCell ref="AB3:AB4"/>
    <mergeCell ref="AC3:AC4"/>
    <mergeCell ref="AD3:AD4"/>
    <mergeCell ref="AE3:AE4"/>
    <mergeCell ref="AC19:AC20"/>
    <mergeCell ref="AD19:AD20"/>
    <mergeCell ref="AE19:AE20"/>
    <mergeCell ref="AF19:AF20"/>
    <mergeCell ref="AG19:AG20"/>
    <mergeCell ref="Y3:Y4"/>
    <mergeCell ref="Z3:Z4"/>
    <mergeCell ref="Z2:AC2"/>
    <mergeCell ref="AD2:AG2"/>
    <mergeCell ref="AH2:AH4"/>
  </mergeCells>
  <pageMargins left="0.7" right="0.7" top="0.78740157499999996" bottom="0.78740157499999996"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7CA2C-BD91-4750-8F2D-69AF207A0B50}">
  <sheetPr codeName="TabTemplateColumn">
    <tabColor theme="9"/>
    <outlinePr summaryBelow="0" summaryRight="0"/>
  </sheetPr>
  <dimension ref="D1:I79"/>
  <sheetViews>
    <sheetView showGridLines="0" topLeftCell="A45" workbookViewId="0">
      <selection activeCell="D54" sqref="D54"/>
    </sheetView>
  </sheetViews>
  <sheetFormatPr baseColWidth="10" defaultColWidth="11.42578125" defaultRowHeight="12.75" outlineLevelCol="1"/>
  <cols>
    <col min="1" max="3" width="2.7109375" style="5" customWidth="1"/>
    <col min="4" max="4" width="25.7109375" style="4" customWidth="1" collapsed="1"/>
    <col min="5" max="5" width="5.7109375" style="42" hidden="1" customWidth="1" outlineLevel="1"/>
    <col min="6" max="6" width="2.7109375" style="5" customWidth="1"/>
    <col min="7" max="7" width="28.85546875" style="5" bestFit="1" customWidth="1"/>
    <col min="8" max="8" width="2.7109375" style="5" customWidth="1"/>
    <col min="9" max="9" width="11.42578125" style="858"/>
    <col min="10" max="16384" width="11.42578125" style="5"/>
  </cols>
  <sheetData>
    <row r="1" spans="4:9" ht="4.5" customHeight="1"/>
    <row r="2" spans="4:9" ht="4.5" customHeight="1">
      <c r="E2" s="4"/>
    </row>
    <row r="3" spans="4:9" ht="4.5" customHeight="1"/>
    <row r="4" spans="4:9" ht="4.5" customHeight="1">
      <c r="D4" s="2"/>
      <c r="E4" s="145"/>
    </row>
    <row r="5" spans="4:9" ht="4.5" customHeight="1">
      <c r="D5" s="2"/>
      <c r="E5" s="145"/>
    </row>
    <row r="6" spans="4:9" ht="4.5" customHeight="1">
      <c r="D6" s="2"/>
      <c r="E6" s="145"/>
    </row>
    <row r="7" spans="4:9" ht="4.5" customHeight="1">
      <c r="D7" s="2"/>
      <c r="E7" s="145"/>
    </row>
    <row r="8" spans="4:9" ht="4.5" customHeight="1">
      <c r="D8" s="2"/>
      <c r="E8" s="145"/>
    </row>
    <row r="9" spans="4:9" ht="4.5" customHeight="1">
      <c r="D9" s="2"/>
      <c r="E9" s="145"/>
    </row>
    <row r="10" spans="4:9">
      <c r="D10" s="187">
        <v>0</v>
      </c>
      <c r="E10" s="145"/>
      <c r="I10" s="858" t="s">
        <v>2497</v>
      </c>
    </row>
    <row r="11" spans="4:9">
      <c r="D11" s="152" t="str">
        <f>$B$10&amp;" "&amp;D$10</f>
        <v xml:space="preserve"> 0</v>
      </c>
      <c r="E11" s="154"/>
      <c r="G11" s="354" t="s">
        <v>33</v>
      </c>
      <c r="I11" s="859" cm="1">
        <f t="array" ref="I11">IF(INDEX(Premises!$10:$10,1,(ROW()-9)*2)=0,0,INDEX(Premises!$10:$10,1,(ROW()-9)*2))</f>
        <v>1</v>
      </c>
    </row>
    <row r="12" spans="4:9">
      <c r="D12" s="146"/>
      <c r="E12" s="154"/>
      <c r="G12" s="355" t="s">
        <v>22</v>
      </c>
      <c r="I12" s="860" cm="1">
        <f t="array" ref="I12">INDEX(Premises!$10:$10,1,(ROW()-9)*2)</f>
        <v>0</v>
      </c>
    </row>
    <row r="13" spans="4:9">
      <c r="D13" s="155"/>
      <c r="E13" s="154"/>
      <c r="G13" s="355" t="s">
        <v>19</v>
      </c>
      <c r="I13" s="860" cm="1">
        <f t="array" ref="I13">INDEX(Premises!$10:$10,1,(ROW()-9)*2)</f>
        <v>0</v>
      </c>
    </row>
    <row r="14" spans="4:9">
      <c r="D14" s="156"/>
      <c r="E14" s="154"/>
      <c r="G14" s="355" t="s">
        <v>48</v>
      </c>
      <c r="I14" s="860" cm="1">
        <f t="array" ref="I14">INDEX(Premises!$10:$10,1,(ROW()-9)*2)</f>
        <v>0</v>
      </c>
    </row>
    <row r="15" spans="4:9">
      <c r="D15" s="156"/>
      <c r="E15" s="154"/>
      <c r="G15" s="355" t="s">
        <v>47</v>
      </c>
      <c r="I15" s="860" cm="1">
        <f t="array" ref="I15">INDEX(Premises!$10:$10,1,(ROW()-9)*2)</f>
        <v>0</v>
      </c>
    </row>
    <row r="16" spans="4:9">
      <c r="D16" s="156"/>
      <c r="E16" s="154"/>
      <c r="G16" s="355" t="s">
        <v>46</v>
      </c>
      <c r="I16" s="860" cm="1">
        <f t="array" ref="I16">INDEX(Premises!$10:$10,1,(ROW()-9)*2)</f>
        <v>0</v>
      </c>
    </row>
    <row r="17" spans="4:9">
      <c r="D17" s="356"/>
      <c r="E17" s="357"/>
      <c r="G17" s="358"/>
      <c r="I17" s="860" cm="1">
        <f t="array" ref="I17">INDEX(Premises!$10:$10,1,(ROW()-9)*2)</f>
        <v>0</v>
      </c>
    </row>
    <row r="18" spans="4:9">
      <c r="D18" s="160"/>
      <c r="E18" s="705">
        <f>IFERROR(MATCH(D$18,LOC[Standort],0),0)</f>
        <v>0</v>
      </c>
      <c r="G18" s="354" t="s">
        <v>15</v>
      </c>
      <c r="I18" s="860" cm="1">
        <f t="array" ref="I18">INDEX(Premises!$10:$10,1,(ROW()-9)*2)</f>
        <v>0</v>
      </c>
    </row>
    <row r="19" spans="4:9">
      <c r="D19" s="156">
        <f>E19</f>
        <v>0</v>
      </c>
      <c r="E19" s="683" cm="1">
        <f t="array" ref="E19">IF(E$18=0,0,IFERROR(INDEX(LOC[Arbeitstage],E$18),0))</f>
        <v>0</v>
      </c>
      <c r="G19" s="355" t="s">
        <v>16</v>
      </c>
      <c r="I19" s="860" cm="1">
        <f t="array" ref="I19">INDEX(Premises!$10:$10,1,(ROW()-9)*2)</f>
        <v>0</v>
      </c>
    </row>
    <row r="20" spans="4:9">
      <c r="D20" s="156"/>
      <c r="E20" s="154"/>
      <c r="G20" s="355" t="s">
        <v>6</v>
      </c>
      <c r="I20" s="860" cm="1">
        <f t="array" ref="I20">INDEX(Premises!$10:$10,1,(ROW()-9)*2)</f>
        <v>0</v>
      </c>
    </row>
    <row r="21" spans="4:9">
      <c r="D21" s="146"/>
      <c r="E21" s="682" cm="1">
        <f t="array" ref="E21">IF(E$18=0,0,IFERROR(ExchangeRate*IF(D$20=1,INDEX(LOC[M1S],E$18),IF(D$20=2,INDEX(LOC[M2S],E$18),IF(D$20=3,INDEX(LOC[M3S],E$18),0))),0))</f>
        <v>0</v>
      </c>
      <c r="G21" s="355" t="s">
        <v>91</v>
      </c>
      <c r="I21" s="860" cm="1">
        <f t="array" ref="I21">INDEX(Premises!$10:$10,1,(ROW()-9)*2)</f>
        <v>0</v>
      </c>
    </row>
    <row r="22" spans="4:9">
      <c r="D22" s="146"/>
      <c r="E22" s="682" cm="1">
        <f t="array" ref="E22">IF(E$18=0,0,IFERROR(ExchangeRate*IF(D$20=1,INDEX(LOC[F1S],E$18),IF(D$20=2,INDEX(LOC[F2S],E$18),IF(D$20=3,INDEX(LOC[F3S],E$18),0))),0))</f>
        <v>0</v>
      </c>
      <c r="G22" s="355" t="s">
        <v>92</v>
      </c>
      <c r="I22" s="860" cm="1">
        <f t="array" ref="I22">INDEX(Premises!$10:$10,1,(ROW()-9)*2)</f>
        <v>0</v>
      </c>
    </row>
    <row r="23" spans="4:9">
      <c r="D23" s="163"/>
      <c r="E23" s="682" cm="1">
        <f t="array" ref="E23">IF(E$18=0,0,IFERROR(ExchangeRate*INDEX(LOC[Monatesmiete],E$18),0))</f>
        <v>0</v>
      </c>
      <c r="G23" s="355" t="s">
        <v>17</v>
      </c>
      <c r="I23" s="860" cm="1">
        <f t="array" ref="I23">INDEX(Premises!$10:$10,1,(ROW()-9)*2)</f>
        <v>0</v>
      </c>
    </row>
    <row r="24" spans="4:9">
      <c r="D24" s="163"/>
      <c r="E24" s="682" cm="1">
        <f t="array" ref="E24">IF(E$18=0,0,IFERROR(ExchangeRate*INDEX(LOC[Strom],E$18),0))</f>
        <v>0</v>
      </c>
      <c r="G24" s="355" t="s">
        <v>21</v>
      </c>
      <c r="I24" s="860" cm="1">
        <f t="array" ref="I24">INDEX(Premises!$10:$10,1,(ROW()-9)*2)</f>
        <v>0</v>
      </c>
    </row>
    <row r="25" spans="4:9">
      <c r="D25" s="146"/>
      <c r="E25" s="682" cm="1">
        <f t="array" ref="E25">IF(E$18=0,0,IFERROR(ExchangeRate*INDEX(LOC[Erdgas],E$18),0))</f>
        <v>0</v>
      </c>
      <c r="G25" s="355" t="s">
        <v>587</v>
      </c>
      <c r="I25" s="860" cm="1">
        <f t="array" ref="I25">INDEX(Premises!$10:$10,1,(ROW()-9)*2)</f>
        <v>0</v>
      </c>
    </row>
    <row r="26" spans="4:9">
      <c r="D26" s="163"/>
      <c r="E26" s="682" cm="1">
        <f t="array" ref="E26">IF(E$18=0,0,IFERROR(INDEX(LOC[Kalk. Zins],E$18),0))</f>
        <v>0</v>
      </c>
      <c r="G26" s="355" t="s">
        <v>45</v>
      </c>
      <c r="I26" s="860" cm="1">
        <f t="array" ref="I26">INDEX(Premises!$10:$10,1,(ROW()-9)*2)</f>
        <v>0</v>
      </c>
    </row>
    <row r="27" spans="4:9">
      <c r="D27" s="356"/>
      <c r="E27" s="357"/>
      <c r="G27" s="359"/>
      <c r="I27" s="860" cm="1">
        <f t="array" ref="I27">INDEX(Premises!$10:$10,1,(ROW()-9)*2)</f>
        <v>0</v>
      </c>
    </row>
    <row r="28" spans="4:9">
      <c r="D28" s="163"/>
      <c r="E28" s="855">
        <f>IF(INDEX(Settings[],MATCH(3003,Settings[ID],0),2)="B",D$39,0)</f>
        <v>0</v>
      </c>
      <c r="G28" s="360" t="s">
        <v>64</v>
      </c>
      <c r="I28" s="860" cm="1">
        <f t="array" ref="I28">INDEX(Premises!$10:$10,1,(ROW()-9)*2)</f>
        <v>0</v>
      </c>
    </row>
    <row r="29" spans="4:9">
      <c r="D29" s="163"/>
      <c r="E29" s="855">
        <f>IF(INDEX(Settings[],MATCH(3004,Settings[ID],0),2)="B",D$40,0)</f>
        <v>0</v>
      </c>
      <c r="G29" s="360" t="s">
        <v>99</v>
      </c>
      <c r="I29" s="860" cm="1">
        <f t="array" ref="I29">INDEX(Premises!$10:$10,1,(ROW()-9)*2)</f>
        <v>0</v>
      </c>
    </row>
    <row r="30" spans="4:9">
      <c r="D30" s="146"/>
      <c r="E30" s="154"/>
      <c r="G30" s="355" t="s">
        <v>77</v>
      </c>
      <c r="I30" s="861" cm="1">
        <f t="array" ref="I30">INDEX(Premises!$10:$10,1,(ROW()-9)*2)</f>
        <v>0</v>
      </c>
    </row>
    <row r="31" spans="4:9">
      <c r="D31" s="146"/>
      <c r="E31" s="682">
        <f>IFERROR(IndirectCosts!$BE$10+INDEX(IndirectCosts!$BE$13:$BE$16,MATCH(D$13,IndirectCosts!$BD$13:$BD$16,1))+INDEX(IndirectCosts!$BE$19:$BE$21,MATCH(D$12,IndirectCosts!$BD$19:$BD$21,0)),0)</f>
        <v>0</v>
      </c>
      <c r="G31" s="355" t="s">
        <v>13</v>
      </c>
    </row>
    <row r="32" spans="4:9">
      <c r="D32" s="146"/>
      <c r="E32" s="682">
        <f>IFERROR(IndirectCosts!$BF$10+INDEX(IndirectCosts!$BF$13:$BF$16,MATCH(D$13,IndirectCosts!$BD$13:$BD$16,1))+INDEX(IndirectCosts!$BF$19:$BF$21,MATCH(D$12,IndirectCosts!$BD$19:$BD$21,0)),0)</f>
        <v>0</v>
      </c>
      <c r="G32" s="360" t="s">
        <v>41</v>
      </c>
    </row>
    <row r="33" spans="4:7">
      <c r="D33" s="146"/>
      <c r="E33" s="682">
        <f>IFERROR(IndirectCosts!$BG$10+INDEX(IndirectCosts!$BG$13:$BG$16,MATCH(D$13,IndirectCosts!$BD$13:$BD$16,1))+INDEX(IndirectCosts!$BG$19:$BG$21,MATCH(D$12,IndirectCosts!$BD$19:$BD$21,0)),0)</f>
        <v>0</v>
      </c>
      <c r="G33" s="360" t="s">
        <v>42</v>
      </c>
    </row>
    <row r="34" spans="4:7">
      <c r="D34" s="146"/>
      <c r="E34" s="682">
        <f>IFERROR(INDEX(IndirectCosts!$BE$23:$BE$26,MATCH(D$12,IndirectCosts!$BD$23:$BD$26,0)),0)</f>
        <v>0</v>
      </c>
      <c r="G34" s="355" t="s">
        <v>14</v>
      </c>
    </row>
    <row r="35" spans="4:7">
      <c r="D35" s="163"/>
      <c r="E35" s="682">
        <f>IFERROR(INDEX(IndirectCosts!$BF$23:$BF$26,MATCH(D$12,IndirectCosts!$BD$23:$BD$26,0)),0)</f>
        <v>0</v>
      </c>
      <c r="G35" s="360" t="s">
        <v>43</v>
      </c>
    </row>
    <row r="36" spans="4:7">
      <c r="D36" s="163"/>
      <c r="E36" s="682">
        <f>IFERROR(INDEX(IndirectCosts!$BG$23:$BG$26,MATCH(D$12,IndirectCosts!$BD$23:$BD$26,0)),0)</f>
        <v>0</v>
      </c>
      <c r="G36" s="360" t="s">
        <v>44</v>
      </c>
    </row>
    <row r="37" spans="4:7">
      <c r="D37" s="146"/>
      <c r="E37" s="154"/>
      <c r="G37" s="355" t="s">
        <v>665</v>
      </c>
    </row>
    <row r="38" spans="4:7">
      <c r="D38" s="159"/>
      <c r="E38" s="159"/>
      <c r="G38" s="355"/>
    </row>
    <row r="39" spans="4:7">
      <c r="D39" s="704">
        <f>IFERROR(SUMIF(Calculation!$CA$11:$CA$65,D$10,Calculation!$AO$11:$AO$65)
/(SUMIF(Calculation!$CA$11:$CA$65,D$10,Calculation!$J$11:$J$65)
+SUMIF(Calculation!$CA$11:$CA$65,D$10,Calculation!$R$11:$R$65)
+SUMIF(Calculation!$CA$11:$CA$65,D$10,Calculation!$V$11:$V$65)
+SUMIF(Calculation!$CA$11:$CA$65,D$10,Calculation!$AL$11:$AL$65))*100,0)</f>
        <v>0</v>
      </c>
      <c r="E39" s="154"/>
      <c r="G39" s="355" t="s">
        <v>1243</v>
      </c>
    </row>
    <row r="40" spans="4:7">
      <c r="D40" s="704" cm="1">
        <f t="array" ref="D40">IFERROR((SUMPRODUCT((Calculation!$CA$11:$CA$65=D$10)*1,Calculation!$CK$11:$CK$65,Calculation!$AZ$11:$AZ$65)
+IF(D$42=0,SUMPRODUCT((Calculation!$CB$11:$CB$65=D$10)*1,(Calculation!$CD$11:$CD$65&lt;&gt;0)*1,Calculation!$CN$11:$CN$65,Calculation!$BT$11:$BT$65)
+SUMPRODUCT((Calculation!$CC$11:$CC$65=D$10)*1,(Calculation!$CD$11:$CD$65&lt;&gt;0)*1,Calculation!$CP$11:$CP$65,Calculation!$BT$11:$BT$65),0))
/(SUMPRODUCT((Calculation!$CA$11:$CA$65=D$10)*1,Calculation!$CK$11:$CK$65,(Calculation!$AU$11:$AU$65&gt;0)*1,Calculation!$AU$11:$AU$65)
+SUMPRODUCT((Calculation!$CA$11:$CA$65=D$10)*1,Calculation!$CK$11:$CK$65,Calculation!$AX$11:$AX$65)
+IF(D$42=0,SUMPRODUCT((Calculation!$CB$11:$CB$65=D$10)*1,(Calculation!$CN$11:$CN$65&lt;&gt;0)*1,(Calculation!$CD$11:$CD$65&lt;&gt;0)*1,Calculation!$BT$11:$BT$65)
+SUMPRODUCT((Calculation!$CC$11:$CC$65=D$10)*1,(Calculation!$CP$11:$CP$65&lt;&gt;0)*1,(Calculation!$CD$11:$CD$65&lt;&gt;0)*1,Calculation!$BT$11:$BT$65),0))*100,0)</f>
        <v>0</v>
      </c>
      <c r="E40" s="154"/>
      <c r="G40" s="355" t="s">
        <v>1244</v>
      </c>
    </row>
    <row r="41" spans="4:7">
      <c r="D41" s="639">
        <f>IF(INDEX(Settings[],MATCH(3003,Settings[ID],0),2)="A",0,D$28)</f>
        <v>0</v>
      </c>
      <c r="E41" s="154"/>
      <c r="G41" s="361" t="s">
        <v>94</v>
      </c>
    </row>
    <row r="42" spans="4:7">
      <c r="D42" s="640">
        <f>IF(INDEX(Settings[],MATCH(3004,Settings[ID],0),2)="A",0,D$29)</f>
        <v>0</v>
      </c>
      <c r="E42" s="154"/>
      <c r="G42" s="361" t="s">
        <v>1041</v>
      </c>
    </row>
    <row r="43" spans="4:7">
      <c r="D43" s="636">
        <f>IFERROR(IndirectCosts!$T$7*(INDEX(LOC[High-skilled],MATCH(D$18,LOC[Standort],0))*ExchangeRate+(IndirectCosts!$AT$7*ExchangeRate*(1/IndirectCosts!$AU$7+IndirectCosts!$AY$7+IndirectCosts!$AZ$7))/(250*8*0.8)+D$26/100*IndirectCosts!$AT$7*ExchangeRate*0.5/(250*8*0.8)+D$24*IndirectCosts!$AV$7*IndirectCosts!$AW$7+D$23*IndirectCosts!$AX$7*12/(250*8*0.8))+IndirectCosts!$U$7*(INDEX(LOC[High-skilled],MATCH(D$18,LOC[Standort],0))*ExchangeRate+IndirectCosts!$AG$7+D$26/100*IndirectCosts!$AF$7*0.5/(250*8*0.8)+D$24*IndirectCosts!$AH$7+D$23*IndirectCosts!$AI$7*12/(250*8*0.8))+IndirectCosts!$V$7*(INDEX(LOC[High-skilled],MATCH(D$18,LOC[Standort],0))*ExchangeRate/10+INDEX(LOC[M2S],MATCH(D$18,LOC[Standort],0))*ExchangeRate+IndirectCosts!$AO$7+D$26/100*IndirectCosts!$AN$7*0.5/(250*16*0.8)+D$24*IndirectCosts!$AP$7+D$23*IndirectCosts!$AQ$7*12/(250*16*0.8)),0)</f>
        <v>0</v>
      </c>
      <c r="E43" s="154"/>
      <c r="G43" s="361" t="s">
        <v>1339</v>
      </c>
    </row>
    <row r="44" spans="4:7">
      <c r="D44" s="635">
        <f>D$26%*IndirectCosts!$K$7/52+IndirectCosts!$K$7/52*12*0.26/1000</f>
        <v>2.4000000000000001E-4</v>
      </c>
      <c r="E44" s="154"/>
      <c r="G44" s="361" t="s">
        <v>1340</v>
      </c>
    </row>
    <row r="45" spans="4:7">
      <c r="D45" s="637">
        <f>IFERROR((IndirectCosts!$K$7/52*365*24)/IndirectCosts!$L$7*IndirectCosts!$R$7*(IndirectCosts!$AK$7+Premises!B$26%*IndirectCosts!$AJ$7*0.5/(365*24)+Premises!B$24*IndirectCosts!$AL$7+Premises!B$23*IndirectCosts!$AM$7*12/(365*24)),0)</f>
        <v>0</v>
      </c>
      <c r="E45" s="154"/>
      <c r="G45" s="361" t="s">
        <v>1341</v>
      </c>
    </row>
    <row r="46" spans="4:7">
      <c r="D46" s="636">
        <f>IFERROR(IndirectCosts!$T$8*(INDEX(LOC[High-skilled],MATCH(D$18,LOC[Standort],0))*ExchangeRate+(IndirectCosts!$AT$7*ExchangeRate*(1/IndirectCosts!$AU$7+IndirectCosts!$AY$7+IndirectCosts!$AZ$7))/(250*8*0.8)+D$26/100*IndirectCosts!$AT$7*ExchangeRate*0.5/(250*8*0.8)+D$24*IndirectCosts!$AV$7*IndirectCosts!$AW$7+D$23*IndirectCosts!$AX$7*12/(250*8*0.8))+IndirectCosts!$U$8*(INDEX(LOC[High-skilled],MATCH(D$18,LOC[Standort],0))*ExchangeRate+IndirectCosts!$AG$8+D$26/100*IndirectCosts!$AF$8*0.5/(250*8*0.8)+D$24*IndirectCosts!$AH$8+D$23*IndirectCosts!$AI$8*12/(250*8*0.8))+IndirectCosts!$V$8*(INDEX(LOC[High-skilled],MATCH(D$18,LOC[Standort],0))*ExchangeRate/10+INDEX(LOC[M2S],MATCH(D$18,LOC[Standort],0))*ExchangeRate+IndirectCosts!$AO$8+D$26/100*IndirectCosts!$AN$8*0.5/(250*16*0.8)+D$24*IndirectCosts!$AP$8+D$23*IndirectCosts!$AQ$8*12/(250*16*0.8)),0)</f>
        <v>0</v>
      </c>
      <c r="E46" s="154"/>
      <c r="G46" s="361" t="s">
        <v>1342</v>
      </c>
    </row>
    <row r="47" spans="4:7">
      <c r="D47" s="635">
        <f>D$26%*IndirectCosts!$K$8/52+IndirectCosts!$K$8/52*12*0.26/1000</f>
        <v>2.4000000000000001E-4</v>
      </c>
      <c r="E47" s="154"/>
      <c r="G47" s="361" t="s">
        <v>1343</v>
      </c>
    </row>
    <row r="48" spans="4:7">
      <c r="D48" s="637">
        <f>IFERROR((IndirectCosts!$K$8/52*365*24)/IndirectCosts!$L$8*IndirectCosts!$R$8*(IndirectCosts!$AK$8+Premises!B$26%*IndirectCosts!$AJ$8*0.5/(365*24)+Premises!B$24*IndirectCosts!$AL$8+Premises!B$23*IndirectCosts!$AM$8*12/(365*24)),0)</f>
        <v>0</v>
      </c>
      <c r="E48" s="154"/>
      <c r="G48" s="361" t="s">
        <v>1344</v>
      </c>
    </row>
    <row r="49" spans="4:7">
      <c r="D49" s="636">
        <f>IFERROR(IndirectCosts!$T$9*(INDEX(LOC[High-skilled],MATCH(D$18,LOC[Standort],0))*ExchangeRate+(IndirectCosts!$AT$7*ExchangeRate*(1/IndirectCosts!$AU$7+IndirectCosts!$AY$7+IndirectCosts!$AZ$7))/(250*8*0.8)+D$26/100*IndirectCosts!$AT$7*ExchangeRate*0.5/(250*8*0.8)+D$24*IndirectCosts!$AV$7*IndirectCosts!$AW$7+D$23*IndirectCosts!$AX$7*12/(250*8*0.8))+IndirectCosts!$U$9*(INDEX(LOC[High-skilled],MATCH(D$18,LOC[Standort],0))*ExchangeRate+IndirectCosts!$AG$9+D$26/100*IndirectCosts!$AF$9*0.5/(250*8*0.8)+D$24*IndirectCosts!$AH$9+D$23*IndirectCosts!$AI$9*12/(250*8*0.8))+IndirectCosts!$V$9*(INDEX(LOC[High-skilled],MATCH(D$18,LOC[Standort],0))*ExchangeRate/10+INDEX(LOC[M2S],MATCH(D$18,LOC[Standort],0))*ExchangeRate+IndirectCosts!$AO$9+D$26/100*IndirectCosts!$AN$9*0.5/(250*16*0.8)+D$24*IndirectCosts!$AP$9+D$23*IndirectCosts!$AQ$9*12/(250*16*0.8)),0)</f>
        <v>0</v>
      </c>
      <c r="E49" s="154"/>
      <c r="G49" s="361" t="s">
        <v>1345</v>
      </c>
    </row>
    <row r="50" spans="4:7">
      <c r="D50" s="635">
        <f>D$26%*IndirectCosts!$K$9/52+IndirectCosts!$K$9/52*12*0.26/1000</f>
        <v>2.4000000000000001E-4</v>
      </c>
      <c r="E50" s="154"/>
      <c r="G50" s="361" t="s">
        <v>1346</v>
      </c>
    </row>
    <row r="51" spans="4:7">
      <c r="D51" s="637">
        <f>IFERROR((IndirectCosts!$K$9/52*365*24)/IndirectCosts!$L$9*IndirectCosts!$R$9*(IndirectCosts!$AK$9+Premises!B$26%*IndirectCosts!$AJ$9*0.5/(365*24)+Premises!B$24*IndirectCosts!$AL$9+Premises!B$23*IndirectCosts!$AM$9*12/(365*24)),0)</f>
        <v>0</v>
      </c>
      <c r="E51" s="154"/>
      <c r="G51" s="361" t="s">
        <v>1347</v>
      </c>
    </row>
    <row r="52" spans="4:7">
      <c r="D52" s="638">
        <f>((D30%+(1+D30%)*D42%)*(1+IF(INDEX(Settings[],MATCH(3001,Settings[ID],0),2)="B",D33%,D31%))+IF(INDEX(Settings[],MATCH(3001,Settings[ID],0),2)="B",D33%,D31%)+IF(INDEX(Settings[],MATCH(3002,Settings[ID],0),2)="B",D36%,D34%))*(1+D37%)+D37%</f>
        <v>0</v>
      </c>
      <c r="E52" s="165"/>
      <c r="G52" s="361" t="s">
        <v>136</v>
      </c>
    </row>
    <row r="53" spans="4:7">
      <c r="D53" s="159"/>
      <c r="E53" s="159"/>
      <c r="G53" s="361"/>
    </row>
    <row r="54" spans="4:7">
      <c r="D54" s="166"/>
      <c r="E54" s="705">
        <f>IFERROR(MATCH(D$54,#REF!,0),0)</f>
        <v>0</v>
      </c>
      <c r="G54" s="355" t="s">
        <v>1412</v>
      </c>
    </row>
    <row r="55" spans="4:7">
      <c r="D55" s="641"/>
      <c r="E55" s="845" t="e">
        <f>MAX(0,IF(D$54=INDEX(#REF!,1),0,
IF(D$54=INDEX(#REF!,2),1-SUMPRODUCT((LOC[Standort]=D$18)*LOC[[E%]:[I%]]),
SUMPRODUCT((#REF!=D$54)*#REF!)-SUMPRODUCT((LOC[Standort]=D$18)*LOC[[E%]:[I%]]))))</f>
        <v>#REF!</v>
      </c>
      <c r="G55" s="355" t="s">
        <v>1415</v>
      </c>
    </row>
    <row r="56" spans="4:7">
      <c r="D56" s="641"/>
      <c r="E56" s="165"/>
      <c r="G56" s="355" t="s">
        <v>3332</v>
      </c>
    </row>
    <row r="57" spans="4:7">
      <c r="D57" s="641"/>
      <c r="E57" s="165"/>
      <c r="G57" s="355" t="s">
        <v>2072</v>
      </c>
    </row>
    <row r="58" spans="4:7">
      <c r="D58" s="159"/>
      <c r="E58" s="159"/>
      <c r="G58" s="355"/>
    </row>
    <row r="59" spans="4:7">
      <c r="D59" s="642" cm="1">
        <f t="array" ref="D59">IFERROR(SUMPRODUCT((Calculation!$CA$11:$CA$65=D$10)*1,(Calculation!$CE$11:$CE$65&lt;&gt;0)*1,Calculation!$ED$11:$ED$65),0)</f>
        <v>0</v>
      </c>
      <c r="E59" s="165"/>
      <c r="G59" s="355" t="s">
        <v>2069</v>
      </c>
    </row>
    <row r="60" spans="4:7">
      <c r="D60" s="642" cm="1">
        <f t="array" ref="D60">IFERROR(SUMPRODUCT((Calculation!$CA$11:$CA$65=D$10)*1,(Calculation!$CE$11:$CE$65&lt;&gt;0)*1,Calculation!$EQ$11:$EQ$65)*(INDEX(Settings[],MATCH(3010,Settings[ID],0),2)=1),0)</f>
        <v>0</v>
      </c>
      <c r="E60" s="165"/>
      <c r="G60" s="355" t="s">
        <v>2070</v>
      </c>
    </row>
    <row r="61" spans="4:7">
      <c r="D61" s="642" cm="1">
        <f t="array" ref="D61">IFERROR(SUMPRODUCT((Calculation!$CA$11:$CA$65=D$10)*1,Calculation!$EW$11:$EW$65),0)</f>
        <v>0</v>
      </c>
      <c r="E61" s="165"/>
      <c r="G61" s="355" t="s">
        <v>2117</v>
      </c>
    </row>
    <row r="62" spans="4:7">
      <c r="D62" s="643">
        <f>SUM(D$59:D$61)</f>
        <v>0</v>
      </c>
      <c r="E62" s="165"/>
      <c r="G62" s="355" t="s">
        <v>1414</v>
      </c>
    </row>
    <row r="63" spans="4:7">
      <c r="D63" s="159"/>
      <c r="E63" s="159"/>
      <c r="G63" s="355"/>
    </row>
    <row r="64" spans="4:7">
      <c r="D64" s="641">
        <f>IFERROR(D$62/1000/1000*INDEX(LOC[CO2-Steuer],E$18)*ExchangeRate*(INDEX(Settings[],MATCH(3012,Settings[ID],0),2)=1),0)</f>
        <v>0</v>
      </c>
      <c r="E64" s="165"/>
      <c r="G64" s="355" t="s">
        <v>2122</v>
      </c>
    </row>
    <row r="65" spans="4:7">
      <c r="D65" s="159"/>
      <c r="E65" s="159"/>
      <c r="G65" s="355"/>
    </row>
    <row r="66" spans="4:7">
      <c r="D66" s="171">
        <f>E66</f>
        <v>0</v>
      </c>
      <c r="E66" s="682" cm="1">
        <f t="array" ref="E66">IF(E$18=0,0,INDEX(LOC[Lat],E$18))</f>
        <v>0</v>
      </c>
      <c r="G66" s="355" t="s">
        <v>2136</v>
      </c>
    </row>
    <row r="67" spans="4:7">
      <c r="D67" s="171">
        <f>E67</f>
        <v>0</v>
      </c>
      <c r="E67" s="682" cm="1">
        <f t="array" ref="E67">IF(E$18=0,0,INDEX(LOC[Long],E$18))</f>
        <v>0</v>
      </c>
      <c r="G67" s="355" t="s">
        <v>2137</v>
      </c>
    </row>
    <row r="68" spans="4:7">
      <c r="D68" s="172">
        <f>E68</f>
        <v>0</v>
      </c>
      <c r="E68" s="683" cm="1">
        <f t="array" ref="E68">IF(E$18=0,0,INDEX(LOC[Hafen],E$18))</f>
        <v>0</v>
      </c>
      <c r="G68" s="355" t="s">
        <v>2138</v>
      </c>
    </row>
    <row r="69" spans="4:7">
      <c r="D69" s="172"/>
      <c r="E69" s="683">
        <v>100</v>
      </c>
      <c r="G69" s="355" t="s">
        <v>2495</v>
      </c>
    </row>
    <row r="70" spans="4:7">
      <c r="D70" s="172"/>
      <c r="E70" s="683">
        <v>25</v>
      </c>
      <c r="G70" s="355" t="s">
        <v>2496</v>
      </c>
    </row>
    <row r="71" spans="4:7">
      <c r="D71" s="154">
        <f>E71</f>
        <v>0</v>
      </c>
      <c r="E71" s="682" cm="1">
        <f t="array" ref="E71">IF(E$18=0,0,INDEX(LOC[Diesel],E$18))</f>
        <v>0</v>
      </c>
      <c r="G71" s="355" t="s">
        <v>2665</v>
      </c>
    </row>
    <row r="72" spans="4:7">
      <c r="D72" s="159"/>
      <c r="E72" s="159"/>
      <c r="G72" s="361"/>
    </row>
    <row r="73" spans="4:7">
      <c r="D73" s="641"/>
      <c r="E73" s="165"/>
      <c r="G73" s="362" t="s">
        <v>2244</v>
      </c>
    </row>
    <row r="74" spans="4:7">
      <c r="D74" s="641"/>
      <c r="E74" s="165"/>
      <c r="G74" s="362" t="s">
        <v>2245</v>
      </c>
    </row>
    <row r="75" spans="4:7">
      <c r="D75" s="641"/>
      <c r="E75" s="165"/>
      <c r="G75" s="362" t="s">
        <v>2246</v>
      </c>
    </row>
    <row r="76" spans="4:7">
      <c r="D76" s="641"/>
      <c r="E76" s="165"/>
      <c r="G76" s="362" t="s">
        <v>202</v>
      </c>
    </row>
    <row r="77" spans="4:7">
      <c r="D77" s="159"/>
      <c r="E77" s="159"/>
    </row>
    <row r="78" spans="4:7">
      <c r="D78" s="173" t="s">
        <v>49</v>
      </c>
      <c r="E78" s="154"/>
      <c r="G78" s="355" t="s">
        <v>116</v>
      </c>
    </row>
    <row r="79" spans="4:7">
      <c r="D79" s="644">
        <f>IFERROR((D$19*D$20*8*60*60/D$13)*D$15/100,0)</f>
        <v>0</v>
      </c>
      <c r="E79" s="154"/>
      <c r="G79" s="355" t="s">
        <v>97</v>
      </c>
    </row>
  </sheetData>
  <dataValidations count="4">
    <dataValidation type="list" allowBlank="1" showInputMessage="1" showErrorMessage="1" sqref="D12" xr:uid="{8963137E-0D2C-4B04-A3BB-6E424BA094C4}">
      <formula1>"high innovative product, system supplier, build to print"</formula1>
    </dataValidation>
    <dataValidation type="list" allowBlank="1" showInputMessage="1" showErrorMessage="1" sqref="D20" xr:uid="{3633004B-6120-4309-959F-3069B5C8C75A}">
      <formula1>"1,2,3"</formula1>
    </dataValidation>
    <dataValidation type="list" allowBlank="1" showInputMessage="1" sqref="D18" xr:uid="{4BB0A23E-F25A-4C5B-8959-B32393F20F18}">
      <formula1>LOC_Dropdown</formula1>
    </dataValidation>
    <dataValidation type="list" allowBlank="1" showInputMessage="1" showErrorMessage="1" sqref="D54" xr:uid="{583E3145-6002-4171-9F68-77F2BEA59BAF}">
      <formula1>CO2EnergyMix_Dropdown</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5A5F1BFD-7CEF-4868-A804-D2E5AABE7C43}">
          <x14:formula1>
            <xm:f>Translation!$E$3:$E$7</xm:f>
          </x14:formula1>
          <xm:sqref>D78</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TemplateRow">
    <tabColor theme="9"/>
    <outlinePr summaryBelow="0" summaryRight="0"/>
  </sheetPr>
  <dimension ref="A1:FM1010"/>
  <sheetViews>
    <sheetView showGridLines="0" topLeftCell="CW1" zoomScaleNormal="100" workbookViewId="0">
      <selection activeCell="DK1005" sqref="DK1005"/>
    </sheetView>
  </sheetViews>
  <sheetFormatPr baseColWidth="10" defaultColWidth="11.42578125" defaultRowHeight="12.75"/>
  <cols>
    <col min="1" max="74" width="11.42578125" style="5"/>
    <col min="75" max="77" width="11.42578125" style="406"/>
    <col min="78" max="90" width="11.42578125" style="5"/>
    <col min="91" max="91" width="11.42578125" style="5" customWidth="1"/>
    <col min="92" max="95" width="11.42578125" style="5"/>
    <col min="96" max="97" width="11.42578125" style="407"/>
    <col min="98" max="98" width="11.42578125" style="5"/>
    <col min="99" max="99" width="2.7109375" style="5" customWidth="1"/>
    <col min="100" max="132" width="6.7109375" style="5" customWidth="1"/>
    <col min="133" max="133" width="2.7109375" style="5" customWidth="1"/>
    <col min="134" max="136" width="7.28515625" style="178" customWidth="1"/>
    <col min="137" max="141" width="7.28515625" style="5" customWidth="1"/>
    <col min="142" max="142" width="11.5703125" style="5" customWidth="1"/>
    <col min="143" max="146" width="7.28515625" style="5" customWidth="1"/>
    <col min="147" max="147" width="14.5703125" style="5" customWidth="1"/>
    <col min="148" max="154" width="7.28515625" style="5" customWidth="1"/>
    <col min="155" max="164" width="0.140625" style="5" customWidth="1"/>
    <col min="165" max="165" width="2.7109375" style="5" customWidth="1"/>
    <col min="166" max="16384" width="11.42578125" style="5"/>
  </cols>
  <sheetData>
    <row r="1" spans="1:169" s="13" customFormat="1">
      <c r="AP1" s="2" t="s">
        <v>65</v>
      </c>
      <c r="AU1" s="2" t="s">
        <v>26</v>
      </c>
      <c r="AY1" s="1364" t="s">
        <v>1</v>
      </c>
      <c r="AZ1" s="1364"/>
      <c r="BA1" s="2" t="s">
        <v>9</v>
      </c>
      <c r="BB1" s="2" t="s">
        <v>12</v>
      </c>
      <c r="BC1" s="1364" t="s">
        <v>66</v>
      </c>
      <c r="BD1" s="1364"/>
      <c r="BE1" s="1364"/>
      <c r="BF1" s="1364"/>
      <c r="BG1" s="1364"/>
      <c r="BH1" s="1364"/>
      <c r="BI1" s="2" t="s">
        <v>67</v>
      </c>
      <c r="BJ1" s="1364" t="s">
        <v>68</v>
      </c>
      <c r="BK1" s="1364"/>
      <c r="BL1" s="1364"/>
      <c r="BM1" s="1364"/>
      <c r="BN1" s="1364"/>
      <c r="BO1" s="1364"/>
      <c r="BW1" s="363"/>
      <c r="BX1" s="363"/>
      <c r="BY1" s="363"/>
      <c r="CA1" s="364" t="s">
        <v>255</v>
      </c>
      <c r="CB1" s="364" t="s">
        <v>255</v>
      </c>
      <c r="CC1" s="364" t="s">
        <v>255</v>
      </c>
      <c r="CD1" s="365" t="s">
        <v>257</v>
      </c>
      <c r="CE1" s="364" t="s">
        <v>258</v>
      </c>
      <c r="CF1" s="366" t="s">
        <v>84</v>
      </c>
      <c r="CG1" s="365" t="s">
        <v>256</v>
      </c>
      <c r="CH1" s="364" t="s">
        <v>240</v>
      </c>
      <c r="CI1" s="364" t="s">
        <v>281</v>
      </c>
      <c r="CJ1" s="366" t="s">
        <v>280</v>
      </c>
      <c r="CK1" s="364" t="s">
        <v>38</v>
      </c>
      <c r="CL1" s="364" t="s">
        <v>260</v>
      </c>
      <c r="CM1" s="365" t="s">
        <v>130</v>
      </c>
      <c r="CN1" s="367" t="s">
        <v>1091</v>
      </c>
      <c r="CO1" s="365" t="s">
        <v>130</v>
      </c>
      <c r="CP1" s="367" t="s">
        <v>1092</v>
      </c>
      <c r="CQ1" s="368" t="s">
        <v>1237</v>
      </c>
      <c r="CR1" s="369" t="s">
        <v>1091</v>
      </c>
      <c r="CS1" s="369" t="s">
        <v>1092</v>
      </c>
      <c r="CT1" s="368" t="s">
        <v>706</v>
      </c>
      <c r="CV1" s="561" t="s">
        <v>1385</v>
      </c>
      <c r="CW1" s="561" t="s">
        <v>161</v>
      </c>
      <c r="CX1" s="561" t="s">
        <v>335</v>
      </c>
      <c r="CY1" s="561" t="s">
        <v>1361</v>
      </c>
      <c r="CZ1" s="561" t="s">
        <v>1370</v>
      </c>
      <c r="DA1" s="561" t="s">
        <v>697</v>
      </c>
      <c r="DB1" s="561" t="s">
        <v>27</v>
      </c>
      <c r="DC1" s="561" t="s">
        <v>10</v>
      </c>
      <c r="DD1" s="561" t="s">
        <v>282</v>
      </c>
      <c r="DE1" s="561" t="s">
        <v>698</v>
      </c>
      <c r="DF1" s="561" t="s">
        <v>1</v>
      </c>
      <c r="DG1" s="561" t="s">
        <v>9</v>
      </c>
      <c r="DH1" s="561" t="s">
        <v>12</v>
      </c>
      <c r="DI1" s="561" t="s">
        <v>29</v>
      </c>
      <c r="DJ1" s="561" t="s">
        <v>28</v>
      </c>
      <c r="DK1" s="561" t="s">
        <v>13</v>
      </c>
      <c r="DL1" s="561" t="s">
        <v>1371</v>
      </c>
      <c r="DM1" s="561" t="s">
        <v>1372</v>
      </c>
      <c r="DN1" s="561" t="s">
        <v>14</v>
      </c>
      <c r="DO1" s="561" t="s">
        <v>666</v>
      </c>
      <c r="DP1" s="931" t="s">
        <v>11</v>
      </c>
      <c r="DQ1" s="927" t="s">
        <v>2594</v>
      </c>
      <c r="DR1" s="927" t="s">
        <v>1</v>
      </c>
      <c r="DS1" s="927" t="s">
        <v>13</v>
      </c>
      <c r="DT1" s="927" t="s">
        <v>14</v>
      </c>
      <c r="DU1" s="927" t="s">
        <v>666</v>
      </c>
      <c r="DV1" s="930" t="s">
        <v>11</v>
      </c>
      <c r="DW1" s="927" t="s">
        <v>2594</v>
      </c>
      <c r="DX1" s="927" t="s">
        <v>1</v>
      </c>
      <c r="DY1" s="927" t="s">
        <v>13</v>
      </c>
      <c r="DZ1" s="927" t="s">
        <v>14</v>
      </c>
      <c r="EA1" s="927" t="s">
        <v>666</v>
      </c>
      <c r="EB1" s="928" t="s">
        <v>11</v>
      </c>
      <c r="EC1" s="783"/>
      <c r="ED1" s="1104" t="s">
        <v>21</v>
      </c>
      <c r="EE1" s="1104" t="s">
        <v>580</v>
      </c>
      <c r="EF1" s="1104" t="s">
        <v>3751</v>
      </c>
      <c r="EG1" s="1104" t="s">
        <v>3750</v>
      </c>
      <c r="EH1" s="1104" t="s">
        <v>3752</v>
      </c>
      <c r="EI1" s="1104" t="s">
        <v>3753</v>
      </c>
      <c r="EJ1" s="1104" t="s">
        <v>3754</v>
      </c>
      <c r="EK1" s="1104" t="s">
        <v>3755</v>
      </c>
      <c r="EL1" s="1104" t="s">
        <v>3756</v>
      </c>
      <c r="EM1" s="1104" t="s">
        <v>3757</v>
      </c>
      <c r="EN1" s="1104" t="s">
        <v>3758</v>
      </c>
      <c r="EO1" s="1104" t="s">
        <v>3759</v>
      </c>
      <c r="EP1" s="1104" t="s">
        <v>3760</v>
      </c>
      <c r="EQ1" s="1104" t="s">
        <v>3761</v>
      </c>
      <c r="ER1" s="1104" t="s">
        <v>3762</v>
      </c>
      <c r="ES1" s="1104" t="s">
        <v>2511</v>
      </c>
      <c r="ET1" s="1104" t="s">
        <v>3737</v>
      </c>
      <c r="EU1" s="1104" t="s">
        <v>3738</v>
      </c>
      <c r="EV1" s="1104" t="s">
        <v>3739</v>
      </c>
      <c r="EW1" s="1104" t="s">
        <v>70</v>
      </c>
      <c r="EX1" s="1104" t="s">
        <v>70</v>
      </c>
      <c r="FJ1" s="1364" t="s">
        <v>204</v>
      </c>
      <c r="FK1" s="1364"/>
      <c r="FL1" s="1364"/>
      <c r="FM1" s="1136" t="s">
        <v>3885</v>
      </c>
    </row>
    <row r="2" spans="1:169" s="13" customFormat="1" ht="12.75" customHeight="1">
      <c r="A2" s="215"/>
      <c r="B2" s="370"/>
      <c r="C2" s="371"/>
      <c r="D2" s="372"/>
      <c r="E2" s="627"/>
      <c r="F2" s="627"/>
      <c r="G2" s="627"/>
      <c r="H2" s="627"/>
      <c r="I2" s="627"/>
      <c r="J2" s="627"/>
      <c r="K2" s="627"/>
      <c r="L2" s="627"/>
      <c r="M2" s="627"/>
      <c r="N2" s="627"/>
      <c r="O2" s="627"/>
      <c r="P2" s="627"/>
      <c r="Q2" s="627"/>
      <c r="R2" s="627"/>
      <c r="S2" s="627"/>
      <c r="T2" s="627"/>
      <c r="U2" s="627"/>
      <c r="V2" s="627"/>
      <c r="W2" s="627"/>
      <c r="X2" s="627"/>
      <c r="Y2" s="627"/>
      <c r="Z2" s="627"/>
      <c r="AA2" s="627"/>
      <c r="AB2" s="627"/>
      <c r="AC2" s="627"/>
      <c r="AD2" s="627"/>
      <c r="AE2" s="627"/>
      <c r="AF2" s="627"/>
      <c r="AG2" s="627"/>
      <c r="AH2" s="627"/>
      <c r="AI2" s="627"/>
      <c r="AJ2" s="627"/>
      <c r="AK2" s="627"/>
      <c r="AL2" s="627"/>
      <c r="AM2" s="627"/>
      <c r="AN2" s="627"/>
      <c r="AO2" s="627"/>
      <c r="AP2" s="627"/>
      <c r="AQ2" s="627"/>
      <c r="AR2" s="627"/>
      <c r="AS2" s="627"/>
      <c r="AT2" s="627"/>
      <c r="AU2" s="627"/>
      <c r="AV2" s="627"/>
      <c r="AW2" s="627"/>
      <c r="AX2" s="627"/>
      <c r="AY2" s="627"/>
      <c r="AZ2" s="627"/>
      <c r="BA2" s="627"/>
      <c r="BB2" s="627"/>
      <c r="BC2" s="627"/>
      <c r="BD2" s="627"/>
      <c r="BE2" s="627"/>
      <c r="BF2" s="627"/>
      <c r="BG2" s="627"/>
      <c r="BH2" s="627"/>
      <c r="BI2" s="627"/>
      <c r="BJ2" s="627"/>
      <c r="BK2" s="627"/>
      <c r="BL2" s="627"/>
      <c r="BM2" s="627"/>
      <c r="BN2" s="627"/>
      <c r="BO2" s="627"/>
      <c r="BP2" s="627"/>
      <c r="BQ2" s="627"/>
      <c r="BR2" s="627"/>
      <c r="BS2" s="898"/>
      <c r="BT2" s="898"/>
      <c r="BU2" s="627"/>
      <c r="BV2" s="626"/>
      <c r="BW2" s="373"/>
      <c r="BX2" s="794"/>
      <c r="BY2" s="374"/>
      <c r="BZ2" s="375"/>
      <c r="CA2" s="263"/>
      <c r="CB2" s="263"/>
      <c r="CC2" s="263"/>
      <c r="CD2" s="376"/>
      <c r="CE2" s="263"/>
      <c r="CF2" s="377"/>
      <c r="CG2" s="376"/>
      <c r="CH2" s="263"/>
      <c r="CI2" s="263"/>
      <c r="CJ2" s="377"/>
      <c r="CK2" s="263"/>
      <c r="CL2" s="263"/>
      <c r="CM2" s="378"/>
      <c r="CN2" s="379"/>
      <c r="CO2" s="378"/>
      <c r="CP2" s="379"/>
      <c r="CQ2" s="380"/>
      <c r="CR2" s="381"/>
      <c r="CS2" s="381"/>
      <c r="CT2" s="947"/>
      <c r="CU2" s="2"/>
      <c r="CV2" s="382"/>
      <c r="CW2" s="383"/>
      <c r="CX2" s="383"/>
      <c r="CY2" s="383"/>
      <c r="CZ2" s="383"/>
      <c r="DA2" s="383"/>
      <c r="DB2" s="383"/>
      <c r="DC2" s="383"/>
      <c r="DD2" s="383"/>
      <c r="DE2" s="383"/>
      <c r="DF2" s="383"/>
      <c r="DG2" s="383"/>
      <c r="DH2" s="383"/>
      <c r="DI2" s="383"/>
      <c r="DJ2" s="383"/>
      <c r="DK2" s="383"/>
      <c r="DL2" s="383"/>
      <c r="DM2" s="383"/>
      <c r="DN2" s="383"/>
      <c r="DO2" s="383"/>
      <c r="DP2" s="383"/>
      <c r="DQ2" s="383"/>
      <c r="DR2" s="383"/>
      <c r="DS2" s="383"/>
      <c r="DT2" s="383"/>
      <c r="DU2" s="383"/>
      <c r="DV2" s="383"/>
      <c r="DW2" s="383"/>
      <c r="DX2" s="383"/>
      <c r="DY2" s="383"/>
      <c r="DZ2" s="383"/>
      <c r="EA2" s="383"/>
      <c r="EB2" s="384"/>
      <c r="EC2" s="783"/>
      <c r="ED2" s="382"/>
      <c r="EE2" s="383"/>
      <c r="EF2" s="1090"/>
      <c r="EG2" s="1090"/>
      <c r="EH2" s="1090"/>
      <c r="EI2" s="1090"/>
      <c r="EJ2" s="1090"/>
      <c r="EK2" s="1090"/>
      <c r="EL2" s="1090"/>
      <c r="EM2" s="1090"/>
      <c r="EN2" s="1090"/>
      <c r="EO2" s="1090"/>
      <c r="EP2" s="1090"/>
      <c r="EQ2" s="1090"/>
      <c r="ER2" s="1090"/>
      <c r="ES2" s="1090"/>
      <c r="ET2" s="1090"/>
      <c r="EU2" s="1090"/>
      <c r="EV2" s="1090"/>
      <c r="EW2" s="1090"/>
      <c r="EX2" s="1091"/>
      <c r="EY2" s="2"/>
      <c r="EZ2" s="2"/>
      <c r="FA2" s="2"/>
      <c r="FB2" s="2"/>
      <c r="FC2" s="2"/>
      <c r="FD2" s="2"/>
      <c r="FE2" s="2"/>
      <c r="FF2" s="2"/>
      <c r="FG2" s="2"/>
      <c r="FH2" s="2"/>
      <c r="FI2" s="2"/>
      <c r="FJ2" s="382"/>
      <c r="FK2" s="383"/>
      <c r="FL2" s="384"/>
      <c r="FM2" s="947"/>
    </row>
    <row r="3" spans="1:169" s="13" customFormat="1" ht="12.75" customHeight="1">
      <c r="A3" s="215"/>
      <c r="B3" s="385"/>
      <c r="C3" s="386"/>
      <c r="D3" s="629"/>
      <c r="E3" s="387"/>
      <c r="F3" s="388"/>
      <c r="G3" s="388"/>
      <c r="H3" s="388"/>
      <c r="I3" s="620"/>
      <c r="J3" s="617"/>
      <c r="K3" s="389"/>
      <c r="L3" s="390"/>
      <c r="M3" s="849"/>
      <c r="N3" s="390"/>
      <c r="O3" s="388"/>
      <c r="P3" s="628"/>
      <c r="Q3" s="620"/>
      <c r="R3" s="617"/>
      <c r="S3" s="391"/>
      <c r="T3" s="392"/>
      <c r="U3" s="620"/>
      <c r="V3" s="614"/>
      <c r="W3" s="393"/>
      <c r="X3" s="386"/>
      <c r="Y3" s="394"/>
      <c r="Z3" s="395"/>
      <c r="AA3" s="611"/>
      <c r="AB3" s="393"/>
      <c r="AC3" s="386"/>
      <c r="AD3" s="394"/>
      <c r="AE3" s="396"/>
      <c r="AF3" s="611"/>
      <c r="AG3" s="612"/>
      <c r="AH3" s="397"/>
      <c r="AI3" s="398"/>
      <c r="AJ3" s="399"/>
      <c r="AK3" s="613"/>
      <c r="AL3" s="614"/>
      <c r="AM3" s="615"/>
      <c r="AN3" s="616"/>
      <c r="AO3" s="617"/>
      <c r="AP3" s="618"/>
      <c r="AQ3" s="393"/>
      <c r="AR3" s="392"/>
      <c r="AS3" s="619"/>
      <c r="AT3" s="620"/>
      <c r="AU3" s="621"/>
      <c r="AV3" s="622"/>
      <c r="AW3" s="392"/>
      <c r="AX3" s="614"/>
      <c r="AY3" s="623"/>
      <c r="AZ3" s="614"/>
      <c r="BA3" s="618"/>
      <c r="BB3" s="618"/>
      <c r="BC3" s="622"/>
      <c r="BD3" s="614"/>
      <c r="BE3" s="622"/>
      <c r="BF3" s="614"/>
      <c r="BG3" s="622"/>
      <c r="BH3" s="614"/>
      <c r="BI3" s="618"/>
      <c r="BJ3" s="622"/>
      <c r="BK3" s="614"/>
      <c r="BL3" s="622"/>
      <c r="BM3" s="614"/>
      <c r="BN3" s="622"/>
      <c r="BO3" s="614"/>
      <c r="BP3" s="622"/>
      <c r="BQ3" s="392"/>
      <c r="BR3" s="614"/>
      <c r="BS3" s="624"/>
      <c r="BT3" s="624"/>
      <c r="BU3" s="625"/>
      <c r="BV3" s="400"/>
      <c r="BW3" s="401"/>
      <c r="BX3" s="401"/>
      <c r="BY3" s="402"/>
      <c r="BZ3" s="946"/>
      <c r="CA3" s="263"/>
      <c r="CB3" s="263"/>
      <c r="CC3" s="263"/>
      <c r="CD3" s="376"/>
      <c r="CE3" s="263"/>
      <c r="CF3" s="377"/>
      <c r="CG3" s="376"/>
      <c r="CH3" s="263"/>
      <c r="CI3" s="263"/>
      <c r="CJ3" s="377"/>
      <c r="CK3" s="263"/>
      <c r="CL3" s="263"/>
      <c r="CM3" s="378"/>
      <c r="CN3" s="379"/>
      <c r="CO3" s="378"/>
      <c r="CP3" s="379"/>
      <c r="CQ3" s="380"/>
      <c r="CR3" s="381"/>
      <c r="CS3" s="381"/>
      <c r="CT3" s="948"/>
      <c r="CU3" s="2"/>
      <c r="CV3" s="630"/>
      <c r="CW3" s="631"/>
      <c r="CX3" s="631"/>
      <c r="CY3" s="631"/>
      <c r="CZ3" s="631"/>
      <c r="DA3" s="631"/>
      <c r="DB3" s="631"/>
      <c r="DC3" s="632"/>
      <c r="DD3" s="631"/>
      <c r="DE3" s="631"/>
      <c r="DF3" s="631"/>
      <c r="DG3" s="632"/>
      <c r="DH3" s="632"/>
      <c r="DI3" s="631"/>
      <c r="DJ3" s="631"/>
      <c r="DK3" s="631"/>
      <c r="DL3" s="631"/>
      <c r="DM3" s="631"/>
      <c r="DN3" s="631"/>
      <c r="DO3" s="631"/>
      <c r="DP3" s="634"/>
      <c r="DQ3" s="929"/>
      <c r="DR3" s="633"/>
      <c r="DS3" s="633"/>
      <c r="DT3" s="633"/>
      <c r="DU3" s="633"/>
      <c r="DV3" s="932"/>
      <c r="DW3" s="929"/>
      <c r="DX3" s="633"/>
      <c r="DY3" s="633"/>
      <c r="DZ3" s="633"/>
      <c r="EA3" s="633"/>
      <c r="EB3" s="634"/>
      <c r="EC3" s="783"/>
      <c r="ED3" s="1082"/>
      <c r="EE3" s="633"/>
      <c r="EF3" s="1088"/>
      <c r="EG3" s="1086"/>
      <c r="EH3" s="1086"/>
      <c r="EI3" s="1086"/>
      <c r="EJ3" s="1086"/>
      <c r="EK3" s="1086"/>
      <c r="EL3" s="1086"/>
      <c r="EM3" s="1088"/>
      <c r="EN3" s="1086"/>
      <c r="EO3" s="1086"/>
      <c r="EP3" s="1086"/>
      <c r="EQ3" s="1086"/>
      <c r="ER3" s="1088"/>
      <c r="ES3" s="1086"/>
      <c r="ET3" s="1086"/>
      <c r="EU3" s="1086"/>
      <c r="EV3" s="1086"/>
      <c r="EW3" s="1086"/>
      <c r="EX3" s="1089"/>
      <c r="EY3" s="2"/>
      <c r="EZ3" s="2"/>
      <c r="FA3" s="2"/>
      <c r="FB3" s="2"/>
      <c r="FC3" s="2"/>
      <c r="FD3" s="2"/>
      <c r="FE3" s="2"/>
      <c r="FF3" s="2"/>
      <c r="FG3" s="2"/>
      <c r="FH3" s="2"/>
      <c r="FI3" s="2"/>
      <c r="FJ3" s="403"/>
      <c r="FK3" s="404"/>
      <c r="FL3" s="405"/>
      <c r="FM3" s="948"/>
    </row>
    <row r="4" spans="1:169" s="13" customFormat="1" ht="12.75" customHeight="1">
      <c r="A4" s="215"/>
      <c r="B4" s="385"/>
      <c r="C4" s="386"/>
      <c r="D4" s="629"/>
      <c r="E4" s="387"/>
      <c r="F4" s="388"/>
      <c r="G4" s="388"/>
      <c r="H4" s="388"/>
      <c r="I4" s="620"/>
      <c r="J4" s="617"/>
      <c r="K4" s="389"/>
      <c r="L4" s="390"/>
      <c r="M4" s="849"/>
      <c r="N4" s="390"/>
      <c r="O4" s="388"/>
      <c r="P4" s="628"/>
      <c r="Q4" s="620"/>
      <c r="R4" s="617"/>
      <c r="S4" s="391"/>
      <c r="T4" s="392"/>
      <c r="U4" s="620"/>
      <c r="V4" s="614"/>
      <c r="W4" s="393"/>
      <c r="X4" s="386"/>
      <c r="Y4" s="394"/>
      <c r="Z4" s="395"/>
      <c r="AA4" s="611"/>
      <c r="AB4" s="393"/>
      <c r="AC4" s="386"/>
      <c r="AD4" s="394"/>
      <c r="AE4" s="396"/>
      <c r="AF4" s="611"/>
      <c r="AG4" s="612"/>
      <c r="AH4" s="397"/>
      <c r="AI4" s="398"/>
      <c r="AJ4" s="399"/>
      <c r="AK4" s="613"/>
      <c r="AL4" s="614"/>
      <c r="AM4" s="615"/>
      <c r="AN4" s="616"/>
      <c r="AO4" s="617"/>
      <c r="AP4" s="618"/>
      <c r="AQ4" s="393"/>
      <c r="AR4" s="392"/>
      <c r="AS4" s="619"/>
      <c r="AT4" s="620"/>
      <c r="AU4" s="621"/>
      <c r="AV4" s="622"/>
      <c r="AW4" s="392"/>
      <c r="AX4" s="614"/>
      <c r="AY4" s="623"/>
      <c r="AZ4" s="614"/>
      <c r="BA4" s="618"/>
      <c r="BB4" s="618"/>
      <c r="BC4" s="622"/>
      <c r="BD4" s="614"/>
      <c r="BE4" s="622"/>
      <c r="BF4" s="614"/>
      <c r="BG4" s="622"/>
      <c r="BH4" s="614"/>
      <c r="BI4" s="618"/>
      <c r="BJ4" s="622"/>
      <c r="BK4" s="614"/>
      <c r="BL4" s="622"/>
      <c r="BM4" s="614"/>
      <c r="BN4" s="622"/>
      <c r="BO4" s="614"/>
      <c r="BP4" s="622"/>
      <c r="BQ4" s="392"/>
      <c r="BR4" s="614"/>
      <c r="BS4" s="624"/>
      <c r="BT4" s="624"/>
      <c r="BU4" s="625"/>
      <c r="BV4" s="400"/>
      <c r="BW4" s="401"/>
      <c r="BX4" s="401"/>
      <c r="BY4" s="402"/>
      <c r="BZ4" s="946"/>
      <c r="CA4" s="263"/>
      <c r="CB4" s="263"/>
      <c r="CC4" s="263"/>
      <c r="CD4" s="376"/>
      <c r="CE4" s="263"/>
      <c r="CF4" s="377"/>
      <c r="CG4" s="376"/>
      <c r="CH4" s="263"/>
      <c r="CI4" s="263"/>
      <c r="CJ4" s="377"/>
      <c r="CK4" s="263"/>
      <c r="CL4" s="263"/>
      <c r="CM4" s="378"/>
      <c r="CN4" s="379"/>
      <c r="CO4" s="378"/>
      <c r="CP4" s="379"/>
      <c r="CQ4" s="380"/>
      <c r="CR4" s="381"/>
      <c r="CS4" s="381"/>
      <c r="CT4" s="948"/>
      <c r="CU4" s="2"/>
      <c r="CV4" s="630"/>
      <c r="CW4" s="631"/>
      <c r="CX4" s="631"/>
      <c r="CY4" s="631"/>
      <c r="CZ4" s="631"/>
      <c r="DA4" s="631"/>
      <c r="DB4" s="631"/>
      <c r="DC4" s="632"/>
      <c r="DD4" s="631"/>
      <c r="DE4" s="631"/>
      <c r="DF4" s="631"/>
      <c r="DG4" s="632"/>
      <c r="DH4" s="632"/>
      <c r="DI4" s="631"/>
      <c r="DJ4" s="631"/>
      <c r="DK4" s="631"/>
      <c r="DL4" s="631"/>
      <c r="DM4" s="631"/>
      <c r="DN4" s="631"/>
      <c r="DO4" s="631"/>
      <c r="DP4" s="634"/>
      <c r="DQ4" s="929"/>
      <c r="DR4" s="633"/>
      <c r="DS4" s="633"/>
      <c r="DT4" s="633"/>
      <c r="DU4" s="633"/>
      <c r="DV4" s="932"/>
      <c r="DW4" s="929"/>
      <c r="DX4" s="633"/>
      <c r="DY4" s="633"/>
      <c r="DZ4" s="633"/>
      <c r="EA4" s="633"/>
      <c r="EB4" s="634"/>
      <c r="EC4" s="783"/>
      <c r="ED4" s="1082"/>
      <c r="EE4" s="633"/>
      <c r="EF4" s="1088"/>
      <c r="EG4" s="1086"/>
      <c r="EH4" s="1086"/>
      <c r="EI4" s="1086"/>
      <c r="EJ4" s="1086"/>
      <c r="EK4" s="1086"/>
      <c r="EL4" s="1086"/>
      <c r="EM4" s="1088"/>
      <c r="EN4" s="1086"/>
      <c r="EO4" s="1086"/>
      <c r="EP4" s="1086"/>
      <c r="EQ4" s="1086"/>
      <c r="ER4" s="1088"/>
      <c r="ES4" s="1086"/>
      <c r="ET4" s="1086"/>
      <c r="EU4" s="1086"/>
      <c r="EV4" s="1086"/>
      <c r="EW4" s="1086"/>
      <c r="EX4" s="1089"/>
      <c r="EY4" s="2"/>
      <c r="EZ4" s="2"/>
      <c r="FA4" s="2"/>
      <c r="FB4" s="2"/>
      <c r="FC4" s="2"/>
      <c r="FD4" s="2"/>
      <c r="FE4" s="2"/>
      <c r="FF4" s="2"/>
      <c r="FG4" s="2"/>
      <c r="FH4" s="2"/>
      <c r="FI4" s="2"/>
      <c r="FJ4" s="403"/>
      <c r="FK4" s="404"/>
      <c r="FL4" s="405"/>
      <c r="FM4" s="948"/>
    </row>
    <row r="5" spans="1:169" s="13" customFormat="1" ht="12.75" customHeight="1">
      <c r="A5" s="215"/>
      <c r="B5" s="385"/>
      <c r="C5" s="386"/>
      <c r="D5" s="629"/>
      <c r="E5" s="387"/>
      <c r="F5" s="388"/>
      <c r="G5" s="388"/>
      <c r="H5" s="388"/>
      <c r="I5" s="620"/>
      <c r="J5" s="617"/>
      <c r="K5" s="389"/>
      <c r="L5" s="390"/>
      <c r="M5" s="849"/>
      <c r="N5" s="390"/>
      <c r="O5" s="388"/>
      <c r="P5" s="628"/>
      <c r="Q5" s="620"/>
      <c r="R5" s="617"/>
      <c r="S5" s="391"/>
      <c r="T5" s="392"/>
      <c r="U5" s="620"/>
      <c r="V5" s="614"/>
      <c r="W5" s="393"/>
      <c r="X5" s="386"/>
      <c r="Y5" s="394"/>
      <c r="Z5" s="395"/>
      <c r="AA5" s="611"/>
      <c r="AB5" s="393"/>
      <c r="AC5" s="386"/>
      <c r="AD5" s="394"/>
      <c r="AE5" s="396"/>
      <c r="AF5" s="611"/>
      <c r="AG5" s="612"/>
      <c r="AH5" s="397"/>
      <c r="AI5" s="398"/>
      <c r="AJ5" s="399"/>
      <c r="AK5" s="613"/>
      <c r="AL5" s="614"/>
      <c r="AM5" s="615"/>
      <c r="AN5" s="616"/>
      <c r="AO5" s="617"/>
      <c r="AP5" s="618"/>
      <c r="AQ5" s="393"/>
      <c r="AR5" s="392"/>
      <c r="AS5" s="619"/>
      <c r="AT5" s="620"/>
      <c r="AU5" s="621"/>
      <c r="AV5" s="622"/>
      <c r="AW5" s="392"/>
      <c r="AX5" s="614"/>
      <c r="AY5" s="623"/>
      <c r="AZ5" s="614"/>
      <c r="BA5" s="618"/>
      <c r="BB5" s="618"/>
      <c r="BC5" s="622"/>
      <c r="BD5" s="614"/>
      <c r="BE5" s="622"/>
      <c r="BF5" s="614"/>
      <c r="BG5" s="622"/>
      <c r="BH5" s="614"/>
      <c r="BI5" s="618"/>
      <c r="BJ5" s="622"/>
      <c r="BK5" s="614"/>
      <c r="BL5" s="622"/>
      <c r="BM5" s="614"/>
      <c r="BN5" s="622"/>
      <c r="BO5" s="614"/>
      <c r="BP5" s="622"/>
      <c r="BQ5" s="392"/>
      <c r="BR5" s="614"/>
      <c r="BS5" s="624"/>
      <c r="BT5" s="624"/>
      <c r="BU5" s="625"/>
      <c r="BV5" s="400"/>
      <c r="BW5" s="401"/>
      <c r="BX5" s="401"/>
      <c r="BY5" s="402"/>
      <c r="BZ5" s="946"/>
      <c r="CA5" s="263"/>
      <c r="CB5" s="263"/>
      <c r="CC5" s="263"/>
      <c r="CD5" s="376"/>
      <c r="CE5" s="263"/>
      <c r="CF5" s="377"/>
      <c r="CG5" s="376"/>
      <c r="CH5" s="263"/>
      <c r="CI5" s="263"/>
      <c r="CJ5" s="377"/>
      <c r="CK5" s="263"/>
      <c r="CL5" s="263"/>
      <c r="CM5" s="378"/>
      <c r="CN5" s="379"/>
      <c r="CO5" s="378"/>
      <c r="CP5" s="379"/>
      <c r="CQ5" s="380"/>
      <c r="CR5" s="381"/>
      <c r="CS5" s="381"/>
      <c r="CT5" s="948"/>
      <c r="CU5" s="2"/>
      <c r="CV5" s="630"/>
      <c r="CW5" s="631"/>
      <c r="CX5" s="631"/>
      <c r="CY5" s="631"/>
      <c r="CZ5" s="631"/>
      <c r="DA5" s="631"/>
      <c r="DB5" s="631"/>
      <c r="DC5" s="632"/>
      <c r="DD5" s="631"/>
      <c r="DE5" s="631"/>
      <c r="DF5" s="631"/>
      <c r="DG5" s="632"/>
      <c r="DH5" s="632"/>
      <c r="DI5" s="631"/>
      <c r="DJ5" s="631"/>
      <c r="DK5" s="631"/>
      <c r="DL5" s="631"/>
      <c r="DM5" s="631"/>
      <c r="DN5" s="631"/>
      <c r="DO5" s="631"/>
      <c r="DP5" s="634"/>
      <c r="DQ5" s="929"/>
      <c r="DR5" s="633"/>
      <c r="DS5" s="633"/>
      <c r="DT5" s="633"/>
      <c r="DU5" s="633"/>
      <c r="DV5" s="932"/>
      <c r="DW5" s="929"/>
      <c r="DX5" s="633"/>
      <c r="DY5" s="633"/>
      <c r="DZ5" s="633"/>
      <c r="EA5" s="633"/>
      <c r="EB5" s="634"/>
      <c r="EC5" s="783"/>
      <c r="ED5" s="1082"/>
      <c r="EE5" s="633"/>
      <c r="EF5" s="1088"/>
      <c r="EG5" s="1086"/>
      <c r="EH5" s="1086"/>
      <c r="EI5" s="1086"/>
      <c r="EJ5" s="1086"/>
      <c r="EK5" s="1086"/>
      <c r="EL5" s="1086"/>
      <c r="EM5" s="1088"/>
      <c r="EN5" s="1086"/>
      <c r="EO5" s="1086"/>
      <c r="EP5" s="1086"/>
      <c r="EQ5" s="1086"/>
      <c r="ER5" s="1088"/>
      <c r="ES5" s="1086"/>
      <c r="ET5" s="1086"/>
      <c r="EU5" s="1086"/>
      <c r="EV5" s="1086"/>
      <c r="EW5" s="1086"/>
      <c r="EX5" s="1089"/>
      <c r="EY5" s="2"/>
      <c r="EZ5" s="2"/>
      <c r="FA5" s="2"/>
      <c r="FB5" s="2"/>
      <c r="FC5" s="2"/>
      <c r="FD5" s="2"/>
      <c r="FE5" s="2"/>
      <c r="FF5" s="2"/>
      <c r="FG5" s="2"/>
      <c r="FH5" s="2"/>
      <c r="FI5" s="2"/>
      <c r="FJ5" s="403"/>
      <c r="FK5" s="404"/>
      <c r="FL5" s="405"/>
      <c r="FM5" s="948"/>
    </row>
    <row r="6" spans="1:169" s="13" customFormat="1" ht="12.75" customHeight="1">
      <c r="A6" s="215"/>
      <c r="B6" s="385"/>
      <c r="C6" s="386"/>
      <c r="D6" s="629"/>
      <c r="E6" s="387"/>
      <c r="F6" s="388"/>
      <c r="G6" s="388"/>
      <c r="H6" s="388"/>
      <c r="I6" s="620"/>
      <c r="J6" s="617"/>
      <c r="K6" s="389"/>
      <c r="L6" s="390"/>
      <c r="M6" s="849"/>
      <c r="N6" s="390"/>
      <c r="O6" s="388"/>
      <c r="P6" s="628"/>
      <c r="Q6" s="620"/>
      <c r="R6" s="617"/>
      <c r="S6" s="391"/>
      <c r="T6" s="392"/>
      <c r="U6" s="620"/>
      <c r="V6" s="614"/>
      <c r="W6" s="393"/>
      <c r="X6" s="386"/>
      <c r="Y6" s="394"/>
      <c r="Z6" s="395"/>
      <c r="AA6" s="611"/>
      <c r="AB6" s="393"/>
      <c r="AC6" s="386"/>
      <c r="AD6" s="394"/>
      <c r="AE6" s="396"/>
      <c r="AF6" s="611"/>
      <c r="AG6" s="612"/>
      <c r="AH6" s="397"/>
      <c r="AI6" s="398"/>
      <c r="AJ6" s="399"/>
      <c r="AK6" s="613"/>
      <c r="AL6" s="614"/>
      <c r="AM6" s="615"/>
      <c r="AN6" s="616"/>
      <c r="AO6" s="617"/>
      <c r="AP6" s="618"/>
      <c r="AQ6" s="393"/>
      <c r="AR6" s="392"/>
      <c r="AS6" s="619"/>
      <c r="AT6" s="620"/>
      <c r="AU6" s="621"/>
      <c r="AV6" s="622"/>
      <c r="AW6" s="392"/>
      <c r="AX6" s="614"/>
      <c r="AY6" s="623"/>
      <c r="AZ6" s="614"/>
      <c r="BA6" s="618"/>
      <c r="BB6" s="618"/>
      <c r="BC6" s="622"/>
      <c r="BD6" s="614"/>
      <c r="BE6" s="622"/>
      <c r="BF6" s="614"/>
      <c r="BG6" s="622"/>
      <c r="BH6" s="614"/>
      <c r="BI6" s="618"/>
      <c r="BJ6" s="622"/>
      <c r="BK6" s="614"/>
      <c r="BL6" s="622"/>
      <c r="BM6" s="614"/>
      <c r="BN6" s="622"/>
      <c r="BO6" s="614"/>
      <c r="BP6" s="622"/>
      <c r="BQ6" s="392"/>
      <c r="BR6" s="614"/>
      <c r="BS6" s="624"/>
      <c r="BT6" s="624"/>
      <c r="BU6" s="625"/>
      <c r="BV6" s="400"/>
      <c r="BW6" s="401"/>
      <c r="BX6" s="401"/>
      <c r="BY6" s="402"/>
      <c r="BZ6" s="946"/>
      <c r="CA6" s="263"/>
      <c r="CB6" s="263"/>
      <c r="CC6" s="263"/>
      <c r="CD6" s="376"/>
      <c r="CE6" s="263"/>
      <c r="CF6" s="377"/>
      <c r="CG6" s="376"/>
      <c r="CH6" s="263"/>
      <c r="CI6" s="263"/>
      <c r="CJ6" s="377"/>
      <c r="CK6" s="263"/>
      <c r="CL6" s="263"/>
      <c r="CM6" s="378"/>
      <c r="CN6" s="379"/>
      <c r="CO6" s="378"/>
      <c r="CP6" s="379"/>
      <c r="CQ6" s="380"/>
      <c r="CR6" s="381"/>
      <c r="CS6" s="381"/>
      <c r="CT6" s="948"/>
      <c r="CU6" s="2"/>
      <c r="CV6" s="630"/>
      <c r="CW6" s="631"/>
      <c r="CX6" s="631"/>
      <c r="CY6" s="631"/>
      <c r="CZ6" s="631"/>
      <c r="DA6" s="631"/>
      <c r="DB6" s="631"/>
      <c r="DC6" s="632"/>
      <c r="DD6" s="631"/>
      <c r="DE6" s="631"/>
      <c r="DF6" s="631"/>
      <c r="DG6" s="632"/>
      <c r="DH6" s="632"/>
      <c r="DI6" s="631"/>
      <c r="DJ6" s="631"/>
      <c r="DK6" s="631"/>
      <c r="DL6" s="631"/>
      <c r="DM6" s="631"/>
      <c r="DN6" s="631"/>
      <c r="DO6" s="631"/>
      <c r="DP6" s="634"/>
      <c r="DQ6" s="929"/>
      <c r="DR6" s="633"/>
      <c r="DS6" s="633"/>
      <c r="DT6" s="633"/>
      <c r="DU6" s="633"/>
      <c r="DV6" s="932"/>
      <c r="DW6" s="929"/>
      <c r="DX6" s="633"/>
      <c r="DY6" s="633"/>
      <c r="DZ6" s="633"/>
      <c r="EA6" s="633"/>
      <c r="EB6" s="634"/>
      <c r="EC6" s="783"/>
      <c r="ED6" s="1082"/>
      <c r="EE6" s="633"/>
      <c r="EF6" s="1088"/>
      <c r="EG6" s="1086"/>
      <c r="EH6" s="1086"/>
      <c r="EI6" s="1086"/>
      <c r="EJ6" s="1086"/>
      <c r="EK6" s="1086"/>
      <c r="EL6" s="1086"/>
      <c r="EM6" s="1088"/>
      <c r="EN6" s="1086"/>
      <c r="EO6" s="1086"/>
      <c r="EP6" s="1086"/>
      <c r="EQ6" s="1086"/>
      <c r="ER6" s="1088"/>
      <c r="ES6" s="1086"/>
      <c r="ET6" s="1086"/>
      <c r="EU6" s="1086"/>
      <c r="EV6" s="1086"/>
      <c r="EW6" s="1086"/>
      <c r="EX6" s="1089"/>
      <c r="EY6" s="2"/>
      <c r="EZ6" s="2"/>
      <c r="FA6" s="2"/>
      <c r="FB6" s="2"/>
      <c r="FC6" s="2"/>
      <c r="FD6" s="2"/>
      <c r="FE6" s="2"/>
      <c r="FF6" s="2"/>
      <c r="FG6" s="2"/>
      <c r="FH6" s="2"/>
      <c r="FI6" s="2"/>
      <c r="FJ6" s="403"/>
      <c r="FK6" s="404"/>
      <c r="FL6" s="405"/>
      <c r="FM6" s="948"/>
    </row>
    <row r="7" spans="1:169" s="13" customFormat="1" ht="12.75" customHeight="1">
      <c r="A7" s="215"/>
      <c r="B7" s="385"/>
      <c r="C7" s="386"/>
      <c r="D7" s="629"/>
      <c r="E7" s="387"/>
      <c r="F7" s="388"/>
      <c r="G7" s="388"/>
      <c r="H7" s="388"/>
      <c r="I7" s="620"/>
      <c r="J7" s="617"/>
      <c r="K7" s="389"/>
      <c r="L7" s="390"/>
      <c r="M7" s="849"/>
      <c r="N7" s="390"/>
      <c r="O7" s="388"/>
      <c r="P7" s="628"/>
      <c r="Q7" s="620"/>
      <c r="R7" s="617"/>
      <c r="S7" s="391"/>
      <c r="T7" s="392"/>
      <c r="U7" s="620"/>
      <c r="V7" s="614"/>
      <c r="W7" s="393"/>
      <c r="X7" s="386"/>
      <c r="Y7" s="394"/>
      <c r="Z7" s="395"/>
      <c r="AA7" s="611"/>
      <c r="AB7" s="393"/>
      <c r="AC7" s="386"/>
      <c r="AD7" s="394"/>
      <c r="AE7" s="396"/>
      <c r="AF7" s="611"/>
      <c r="AG7" s="612"/>
      <c r="AH7" s="397"/>
      <c r="AI7" s="398"/>
      <c r="AJ7" s="399"/>
      <c r="AK7" s="613"/>
      <c r="AL7" s="614"/>
      <c r="AM7" s="615"/>
      <c r="AN7" s="616"/>
      <c r="AO7" s="617"/>
      <c r="AP7" s="618"/>
      <c r="AQ7" s="393"/>
      <c r="AR7" s="392"/>
      <c r="AS7" s="619"/>
      <c r="AT7" s="620"/>
      <c r="AU7" s="621"/>
      <c r="AV7" s="622"/>
      <c r="AW7" s="392"/>
      <c r="AX7" s="614"/>
      <c r="AY7" s="623"/>
      <c r="AZ7" s="614"/>
      <c r="BA7" s="618"/>
      <c r="BB7" s="618"/>
      <c r="BC7" s="622"/>
      <c r="BD7" s="614"/>
      <c r="BE7" s="622"/>
      <c r="BF7" s="614"/>
      <c r="BG7" s="622"/>
      <c r="BH7" s="614"/>
      <c r="BI7" s="618"/>
      <c r="BJ7" s="622"/>
      <c r="BK7" s="614"/>
      <c r="BL7" s="622"/>
      <c r="BM7" s="614"/>
      <c r="BN7" s="622"/>
      <c r="BO7" s="614"/>
      <c r="BP7" s="622"/>
      <c r="BQ7" s="392"/>
      <c r="BR7" s="614"/>
      <c r="BS7" s="624"/>
      <c r="BT7" s="624"/>
      <c r="BU7" s="625"/>
      <c r="BV7" s="400"/>
      <c r="BW7" s="401"/>
      <c r="BX7" s="401"/>
      <c r="BY7" s="402"/>
      <c r="BZ7" s="946"/>
      <c r="CA7" s="263"/>
      <c r="CB7" s="263"/>
      <c r="CC7" s="263"/>
      <c r="CD7" s="376"/>
      <c r="CE7" s="263"/>
      <c r="CF7" s="377"/>
      <c r="CG7" s="376"/>
      <c r="CH7" s="263"/>
      <c r="CI7" s="263"/>
      <c r="CJ7" s="377"/>
      <c r="CK7" s="263"/>
      <c r="CL7" s="263"/>
      <c r="CM7" s="378"/>
      <c r="CN7" s="379"/>
      <c r="CO7" s="378"/>
      <c r="CP7" s="379"/>
      <c r="CQ7" s="380"/>
      <c r="CR7" s="381"/>
      <c r="CS7" s="381"/>
      <c r="CT7" s="948"/>
      <c r="CU7" s="2"/>
      <c r="CV7" s="630"/>
      <c r="CW7" s="631"/>
      <c r="CX7" s="631"/>
      <c r="CY7" s="631"/>
      <c r="CZ7" s="631"/>
      <c r="DA7" s="631"/>
      <c r="DB7" s="631"/>
      <c r="DC7" s="632"/>
      <c r="DD7" s="631"/>
      <c r="DE7" s="631"/>
      <c r="DF7" s="631"/>
      <c r="DG7" s="632"/>
      <c r="DH7" s="632"/>
      <c r="DI7" s="631"/>
      <c r="DJ7" s="631"/>
      <c r="DK7" s="631"/>
      <c r="DL7" s="631"/>
      <c r="DM7" s="631"/>
      <c r="DN7" s="631"/>
      <c r="DO7" s="631"/>
      <c r="DP7" s="634"/>
      <c r="DQ7" s="929"/>
      <c r="DR7" s="633"/>
      <c r="DS7" s="633"/>
      <c r="DT7" s="633"/>
      <c r="DU7" s="633"/>
      <c r="DV7" s="932"/>
      <c r="DW7" s="929"/>
      <c r="DX7" s="633"/>
      <c r="DY7" s="633"/>
      <c r="DZ7" s="633"/>
      <c r="EA7" s="633"/>
      <c r="EB7" s="634"/>
      <c r="EC7" s="783"/>
      <c r="ED7" s="1082"/>
      <c r="EE7" s="633"/>
      <c r="EF7" s="1088"/>
      <c r="EG7" s="1086"/>
      <c r="EH7" s="1086"/>
      <c r="EI7" s="1086"/>
      <c r="EJ7" s="1086"/>
      <c r="EK7" s="1086"/>
      <c r="EL7" s="1086"/>
      <c r="EM7" s="1088"/>
      <c r="EN7" s="1086"/>
      <c r="EO7" s="1086"/>
      <c r="EP7" s="1086"/>
      <c r="EQ7" s="1086"/>
      <c r="ER7" s="1088"/>
      <c r="ES7" s="1086"/>
      <c r="ET7" s="1086"/>
      <c r="EU7" s="1086"/>
      <c r="EV7" s="1086"/>
      <c r="EW7" s="1086"/>
      <c r="EX7" s="1089"/>
      <c r="EY7" s="2"/>
      <c r="EZ7" s="2"/>
      <c r="FA7" s="2"/>
      <c r="FB7" s="2"/>
      <c r="FC7" s="2"/>
      <c r="FD7" s="2"/>
      <c r="FE7" s="2"/>
      <c r="FF7" s="2"/>
      <c r="FG7" s="2"/>
      <c r="FH7" s="2"/>
      <c r="FI7" s="2"/>
      <c r="FJ7" s="403"/>
      <c r="FK7" s="404"/>
      <c r="FL7" s="405"/>
      <c r="FM7" s="948"/>
    </row>
    <row r="8" spans="1:169">
      <c r="EC8" s="783"/>
    </row>
    <row r="9" spans="1:169" ht="12.75" customHeight="1">
      <c r="A9" s="408"/>
      <c r="B9" s="1360" t="s">
        <v>76</v>
      </c>
      <c r="C9" s="1362" t="s">
        <v>131</v>
      </c>
      <c r="D9" s="1360" t="s">
        <v>69</v>
      </c>
      <c r="E9" s="1360" t="s">
        <v>34</v>
      </c>
      <c r="F9" s="1360" t="s">
        <v>78</v>
      </c>
      <c r="G9" s="1360" t="s">
        <v>132</v>
      </c>
      <c r="H9" s="1360" t="s">
        <v>134</v>
      </c>
      <c r="I9" s="1360"/>
      <c r="J9" s="1360"/>
      <c r="K9" s="1360"/>
      <c r="L9" s="1362" t="s">
        <v>141</v>
      </c>
      <c r="M9" s="1365" t="s">
        <v>138</v>
      </c>
      <c r="N9" s="1360" t="s">
        <v>70</v>
      </c>
      <c r="O9" s="1360"/>
      <c r="P9" s="1360"/>
      <c r="Q9" s="1360" t="s">
        <v>171</v>
      </c>
      <c r="R9" s="1360" t="s">
        <v>259</v>
      </c>
      <c r="EC9" s="783"/>
    </row>
    <row r="10" spans="1:169" ht="12.75" customHeight="1">
      <c r="A10" s="409"/>
      <c r="B10" s="1361"/>
      <c r="C10" s="1363"/>
      <c r="D10" s="1361"/>
      <c r="E10" s="1361"/>
      <c r="F10" s="1361"/>
      <c r="G10" s="1361"/>
      <c r="H10" s="410" t="s">
        <v>38</v>
      </c>
      <c r="I10" s="410" t="s">
        <v>121</v>
      </c>
      <c r="J10" s="410" t="s">
        <v>122</v>
      </c>
      <c r="K10" s="410" t="s">
        <v>183</v>
      </c>
      <c r="L10" s="1363"/>
      <c r="M10" s="1366"/>
      <c r="N10" s="410" t="s">
        <v>78</v>
      </c>
      <c r="O10" s="410" t="s">
        <v>132</v>
      </c>
      <c r="P10" s="411" t="s">
        <v>133</v>
      </c>
      <c r="Q10" s="1361"/>
      <c r="R10" s="1361"/>
      <c r="EC10" s="783"/>
    </row>
    <row r="11" spans="1:169" s="31" customFormat="1" ht="13.5">
      <c r="A11" s="20" t="str">
        <f>CONCATENATE(B11&amp;" "&amp;D11)</f>
        <v xml:space="preserve"> </v>
      </c>
      <c r="B11" s="412"/>
      <c r="C11" s="21">
        <v>1</v>
      </c>
      <c r="D11" s="22"/>
      <c r="E11" s="23"/>
      <c r="F11" s="24">
        <v>1</v>
      </c>
      <c r="G11" s="25"/>
      <c r="H11" s="24"/>
      <c r="I11" s="24"/>
      <c r="J11" s="24"/>
      <c r="K11" s="24"/>
      <c r="L11" s="24"/>
      <c r="M11" s="413">
        <v>1</v>
      </c>
      <c r="N11" s="26">
        <f>F11</f>
        <v>1</v>
      </c>
      <c r="O11" s="414">
        <f>SUMIF($C:$C,2,$O:$O)</f>
        <v>0</v>
      </c>
      <c r="P11" s="27">
        <f>SUMIF($C:$C,2,$F:$F)</f>
        <v>0</v>
      </c>
      <c r="Q11" s="28"/>
      <c r="R11" s="29"/>
      <c r="S11" s="30"/>
      <c r="BW11" s="32"/>
      <c r="BX11" s="32"/>
      <c r="BY11" s="32"/>
      <c r="CR11" s="415"/>
      <c r="CS11" s="415"/>
      <c r="EC11" s="783"/>
      <c r="ED11" s="416"/>
      <c r="EE11" s="416"/>
      <c r="EF11" s="416"/>
    </row>
    <row r="12" spans="1:169" s="34" customFormat="1">
      <c r="A12" s="864" t="str">
        <f t="shared" ref="A12:A18" si="0">CONCATENATE(B12&amp;" "&amp;D12)</f>
        <v xml:space="preserve"> </v>
      </c>
      <c r="B12" s="865"/>
      <c r="C12" s="866">
        <v>2</v>
      </c>
      <c r="D12" s="867"/>
      <c r="E12" s="866"/>
      <c r="F12" s="868"/>
      <c r="G12" s="869"/>
      <c r="H12" s="868"/>
      <c r="I12" s="868"/>
      <c r="J12" s="868"/>
      <c r="K12" s="870"/>
      <c r="L12" s="871"/>
      <c r="M12" s="875">
        <v>1</v>
      </c>
      <c r="N12" s="872" cm="1">
        <f t="array" ref="N12">F12*LOOKUP(100,1/($C$1:INDEX($C:$C,ROW()-1)=$C12-1),$N$1:INDEX($N:$N,ROW()-1))</f>
        <v>0</v>
      </c>
      <c r="O12" s="873" cm="1">
        <f t="array" ref="O12">IFERROR(IF(INDEX($C:$C,ROW()+1)=$C12+1,SUMIF(INDEX($C:$C,ROW()+1):INDEX($C:$C,IFERROR(ROW()+MATCH($C12,INDEX($C:$C,ROW()+1):INDEX($C:$C,MAX(ROW(BOM))),0)-1,MAX(ROW(BOM)))),$C12+1,INDEX($O:$O,ROW()+1):INDEX($O:$O,IFERROR(ROW()+MATCH($C12,INDEX($C:$C,ROW()+1):INDEX($C:$C,MAX(ROW(BOM))),0)-1,MAX(ROW(BOM))))),$N12*$G12),0)</f>
        <v>0</v>
      </c>
      <c r="P12" s="874" cm="1">
        <f t="array" ref="P12">IFERROR(SUMIF(INDEX($C:$C,ROW()+1):INDEX($C:$C,IFERROR(ROW()+MATCH($C12,INDEX($C:$C,ROW()+1):INDEX($C:$C,MAX(ROW(BOM))),0)-1,MAX(ROW(BOM)))),$C12+1,INDEX($F:$F,ROW()+1):INDEX($F:$F,IFERROR(ROW()+MATCH($C12,INDEX($C:$C,ROW()+1):INDEX($C:$C,MAX(ROW(BOM))),0)-1,MAX(ROW(BOM))))),0)</f>
        <v>0</v>
      </c>
      <c r="Q12" s="867"/>
      <c r="R12" s="793"/>
      <c r="S12" s="33"/>
      <c r="CR12" s="35"/>
      <c r="CS12" s="35"/>
      <c r="EC12" s="783"/>
      <c r="ED12" s="36"/>
      <c r="EE12" s="36"/>
      <c r="EF12" s="36"/>
    </row>
    <row r="13" spans="1:169" s="38" customFormat="1" ht="13.5">
      <c r="A13" s="810" t="str">
        <f t="shared" si="0"/>
        <v xml:space="preserve"> </v>
      </c>
      <c r="B13" s="823"/>
      <c r="C13" s="812">
        <v>3</v>
      </c>
      <c r="D13" s="813"/>
      <c r="E13" s="812"/>
      <c r="F13" s="814"/>
      <c r="G13" s="815"/>
      <c r="H13" s="814"/>
      <c r="I13" s="814"/>
      <c r="J13" s="814"/>
      <c r="K13" s="816"/>
      <c r="L13" s="817"/>
      <c r="M13" s="818">
        <v>1</v>
      </c>
      <c r="N13" s="819" cm="1">
        <f t="array" ref="N13">F13*LOOKUP(100,1/($C$1:INDEX($C:$C,ROW()-1)=$C13-1),$N$1:INDEX($N:$N,ROW()-1))</f>
        <v>0</v>
      </c>
      <c r="O13" s="820" cm="1">
        <f t="array" ref="O13">IFERROR(IF(INDEX($C:$C,ROW()+1)=$C13+1,SUMIF(INDEX($C:$C,ROW()+1):INDEX($C:$C,IFERROR(ROW()+MATCH($C13,INDEX($C:$C,ROW()+1):INDEX($C:$C,MAX(ROW(BOM))),0)-1,MAX(ROW(BOM)))),$C13+1,INDEX($O:$O,ROW()+1):INDEX($O:$O,IFERROR(ROW()+MATCH($C13,INDEX($C:$C,ROW()+1):INDEX($C:$C,MAX(ROW(BOM))),0)-1,MAX(ROW(BOM))))),$N13*$G13),0)</f>
        <v>0</v>
      </c>
      <c r="P13" s="821" cm="1">
        <f t="array" ref="P13">IFERROR(SUMIF(INDEX($C:$C,ROW()+1):INDEX($C:$C,IFERROR(ROW()+MATCH($C13,INDEX($C:$C,ROW()+1):INDEX($C:$C,MAX(ROW(BOM))),0)-1,MAX(ROW(BOM)))),$C13+1,INDEX($F:$F,ROW()+1):INDEX($F:$F,IFERROR(ROW()+MATCH($C13,INDEX($C:$C,ROW()+1):INDEX($C:$C,MAX(ROW(BOM))),0)-1,MAX(ROW(BOM))))),0)</f>
        <v>0</v>
      </c>
      <c r="Q13" s="811"/>
      <c r="R13" s="824"/>
      <c r="S13" s="37"/>
      <c r="CR13" s="39"/>
      <c r="CS13" s="39"/>
      <c r="EC13" s="783"/>
      <c r="ED13" s="40"/>
      <c r="EE13" s="40"/>
      <c r="EF13" s="40"/>
    </row>
    <row r="14" spans="1:169" s="34" customFormat="1">
      <c r="A14" s="798" t="str">
        <f t="shared" si="0"/>
        <v xml:space="preserve"> </v>
      </c>
      <c r="B14" s="799"/>
      <c r="C14" s="800">
        <v>4</v>
      </c>
      <c r="D14" s="801"/>
      <c r="E14" s="800"/>
      <c r="F14" s="802"/>
      <c r="G14" s="803"/>
      <c r="H14" s="802"/>
      <c r="I14" s="802"/>
      <c r="J14" s="802"/>
      <c r="K14" s="804"/>
      <c r="L14" s="805"/>
      <c r="M14" s="806">
        <v>1</v>
      </c>
      <c r="N14" s="807" cm="1">
        <f t="array" ref="N14">F14*LOOKUP(100,1/($C$1:INDEX($C:$C,ROW()-1)=$C14-1),$N$1:INDEX($N:$N,ROW()-1))</f>
        <v>0</v>
      </c>
      <c r="O14" s="808" cm="1">
        <f t="array" ref="O14">IFERROR(IF(INDEX($C:$C,ROW()+1)=$C14+1,SUMIF(INDEX($C:$C,ROW()+1):INDEX($C:$C,IFERROR(ROW()+MATCH($C14,INDEX($C:$C,ROW()+1):INDEX($C:$C,MAX(ROW(BOM))),0)-1,MAX(ROW(BOM)))),$C14+1,INDEX($O:$O,ROW()+1):INDEX($O:$O,IFERROR(ROW()+MATCH($C14,INDEX($C:$C,ROW()+1):INDEX($C:$C,MAX(ROW(BOM))),0)-1,MAX(ROW(BOM))))),$N14*$G14),0)</f>
        <v>0</v>
      </c>
      <c r="P14" s="809" cm="1">
        <f t="array" ref="P14">IFERROR(SUMIF(INDEX($C:$C,ROW()+1):INDEX($C:$C,IFERROR(ROW()+MATCH($C14,INDEX($C:$C,ROW()+1):INDEX($C:$C,MAX(ROW(BOM))),0)-1,MAX(ROW(BOM)))),$C14+1,INDEX($F:$F,ROW()+1):INDEX($F:$F,IFERROR(ROW()+MATCH($C14,INDEX($C:$C,ROW()+1):INDEX($C:$C,MAX(ROW(BOM))),0)-1,MAX(ROW(BOM))))),0)</f>
        <v>0</v>
      </c>
      <c r="Q14" s="799"/>
      <c r="R14" s="825"/>
      <c r="S14" s="33"/>
      <c r="CR14" s="35"/>
      <c r="CS14" s="35"/>
      <c r="EC14" s="783"/>
      <c r="ED14" s="36"/>
      <c r="EE14" s="36"/>
      <c r="EF14" s="36"/>
    </row>
    <row r="15" spans="1:169" s="34" customFormat="1">
      <c r="A15" s="826" t="str">
        <f t="shared" si="0"/>
        <v xml:space="preserve"> </v>
      </c>
      <c r="B15" s="827"/>
      <c r="C15" s="828">
        <v>5</v>
      </c>
      <c r="D15" s="829"/>
      <c r="E15" s="828"/>
      <c r="F15" s="830"/>
      <c r="G15" s="831"/>
      <c r="H15" s="830"/>
      <c r="I15" s="830"/>
      <c r="J15" s="830"/>
      <c r="K15" s="832"/>
      <c r="L15" s="833"/>
      <c r="M15" s="834">
        <v>1</v>
      </c>
      <c r="N15" s="835" cm="1">
        <f t="array" ref="N15">F15*LOOKUP(100,1/($C$1:INDEX($C:$C,ROW()-1)=$C15-1),$N$1:INDEX($N:$N,ROW()-1))</f>
        <v>0</v>
      </c>
      <c r="O15" s="836" cm="1">
        <f t="array" ref="O15">IFERROR(IF(INDEX($C:$C,ROW()+1)=$C15+1,SUMIF(INDEX($C:$C,ROW()+1):INDEX($C:$C,IFERROR(ROW()+MATCH($C15,INDEX($C:$C,ROW()+1):INDEX($C:$C,MAX(ROW(BOM))),0)-1,MAX(ROW(BOM)))),$C15+1,INDEX($O:$O,ROW()+1):INDEX($O:$O,IFERROR(ROW()+MATCH($C15,INDEX($C:$C,ROW()+1):INDEX($C:$C,MAX(ROW(BOM))),0)-1,MAX(ROW(BOM))))),$N15*$G15),0)</f>
        <v>0</v>
      </c>
      <c r="P15" s="837" cm="1">
        <f t="array" ref="P15">IFERROR(SUMIF(INDEX($C:$C,ROW()+1):INDEX($C:$C,IFERROR(ROW()+MATCH($C15,INDEX($C:$C,ROW()+1):INDEX($C:$C,MAX(ROW(BOM))),0)-1,MAX(ROW(BOM)))),$C15+1,INDEX($F:$F,ROW()+1):INDEX($F:$F,IFERROR(ROW()+MATCH($C15,INDEX($C:$C,ROW()+1):INDEX($C:$C,MAX(ROW(BOM))),0)-1,MAX(ROW(BOM))))),0)</f>
        <v>0</v>
      </c>
      <c r="Q15" s="827"/>
      <c r="R15" s="838"/>
      <c r="S15" s="33"/>
      <c r="BW15" s="417"/>
      <c r="BX15" s="417"/>
      <c r="BY15" s="417"/>
      <c r="CR15" s="35"/>
      <c r="CS15" s="35"/>
      <c r="EC15" s="783"/>
      <c r="ED15" s="36"/>
      <c r="EE15" s="36"/>
      <c r="EF15" s="36"/>
    </row>
    <row r="16" spans="1:169">
      <c r="A16" s="839" t="str">
        <f t="shared" si="0"/>
        <v xml:space="preserve"> </v>
      </c>
      <c r="B16" s="608"/>
      <c r="C16" s="598">
        <v>6</v>
      </c>
      <c r="D16" s="599"/>
      <c r="E16" s="598"/>
      <c r="F16" s="600"/>
      <c r="G16" s="601"/>
      <c r="H16" s="600"/>
      <c r="I16" s="600"/>
      <c r="J16" s="600"/>
      <c r="K16" s="602"/>
      <c r="L16" s="603"/>
      <c r="M16" s="604">
        <v>1</v>
      </c>
      <c r="N16" s="605" cm="1">
        <f t="array" ref="N16">F16*LOOKUP(100,1/($C$1:INDEX($C:$C,ROW()-1)=$C16-1),$N$1:INDEX($N:$N,ROW()-1))</f>
        <v>0</v>
      </c>
      <c r="O16" s="606" cm="1">
        <f t="array" ref="O16">IFERROR(IF(INDEX($C:$C,ROW()+1)=$C16+1,SUMIF(INDEX($C:$C,ROW()+1):INDEX($C:$C,IFERROR(ROW()+MATCH($C16,INDEX($C:$C,ROW()+1):INDEX($C:$C,MAX(ROW(BOM))),0)-1,MAX(ROW(BOM)))),$C16+1,INDEX($O:$O,ROW()+1):INDEX($O:$O,IFERROR(ROW()+MATCH($C16,INDEX($C:$C,ROW()+1):INDEX($C:$C,MAX(ROW(BOM))),0)-1,MAX(ROW(BOM))))),$N16*$G16),0)</f>
        <v>0</v>
      </c>
      <c r="P16" s="607" cm="1">
        <f t="array" ref="P16">IFERROR(SUMIF(INDEX($C:$C,ROW()+1):INDEX($C:$C,IFERROR(ROW()+MATCH($C16,INDEX($C:$C,ROW()+1):INDEX($C:$C,MAX(ROW(BOM))),0)-1,MAX(ROW(BOM)))),$C16+1,INDEX($F:$F,ROW()+1):INDEX($F:$F,IFERROR(ROW()+MATCH($C16,INDEX($C:$C,ROW()+1):INDEX($C:$C,MAX(ROW(BOM))),0)-1,MAX(ROW(BOM))))),0)</f>
        <v>0</v>
      </c>
      <c r="Q16" s="608"/>
      <c r="R16" s="609"/>
      <c r="S16" s="430"/>
      <c r="BW16" s="5"/>
      <c r="BX16" s="5"/>
      <c r="BY16" s="5"/>
      <c r="EC16" s="783"/>
    </row>
    <row r="17" spans="1:133">
      <c r="A17" s="610" t="str">
        <f t="shared" si="0"/>
        <v xml:space="preserve"> </v>
      </c>
      <c r="B17" s="595"/>
      <c r="C17" s="585">
        <v>7</v>
      </c>
      <c r="D17" s="586"/>
      <c r="E17" s="585"/>
      <c r="F17" s="587"/>
      <c r="G17" s="588"/>
      <c r="H17" s="587"/>
      <c r="I17" s="587"/>
      <c r="J17" s="587"/>
      <c r="K17" s="589"/>
      <c r="L17" s="590"/>
      <c r="M17" s="591">
        <v>1</v>
      </c>
      <c r="N17" s="592" cm="1">
        <f t="array" ref="N17">F17*LOOKUP(100,1/($C$1:INDEX($C:$C,ROW()-1)=$C17-1),$N$1:INDEX($N:$N,ROW()-1))</f>
        <v>0</v>
      </c>
      <c r="O17" s="593" cm="1">
        <f t="array" ref="O17">IFERROR(IF(INDEX($C:$C,ROW()+1)=$C17+1,SUMIF(INDEX($C:$C,ROW()+1):INDEX($C:$C,IFERROR(ROW()+MATCH($C17,INDEX($C:$C,ROW()+1):INDEX($C:$C,MAX(ROW(BOM))),0)-1,MAX(ROW(BOM)))),$C17+1,INDEX($O:$O,ROW()+1):INDEX($O:$O,IFERROR(ROW()+MATCH($C17,INDEX($C:$C,ROW()+1):INDEX($C:$C,MAX(ROW(BOM))),0)-1,MAX(ROW(BOM))))),$N17*$G17),0)</f>
        <v>0</v>
      </c>
      <c r="P17" s="594" cm="1">
        <f t="array" ref="P17">IFERROR(SUMIF(INDEX($C:$C,ROW()+1):INDEX($C:$C,IFERROR(ROW()+MATCH($C17,INDEX($C:$C,ROW()+1):INDEX($C:$C,MAX(ROW(BOM))),0)-1,MAX(ROW(BOM)))),$C17+1,INDEX($F:$F,ROW()+1):INDEX($F:$F,IFERROR(ROW()+MATCH($C17,INDEX($C:$C,ROW()+1):INDEX($C:$C,MAX(ROW(BOM))),0)-1,MAX(ROW(BOM))))),0)</f>
        <v>0</v>
      </c>
      <c r="Q17" s="595"/>
      <c r="R17" s="596"/>
      <c r="S17" s="430"/>
      <c r="BW17" s="5"/>
      <c r="BX17" s="5"/>
      <c r="BY17" s="5"/>
      <c r="EC17" s="783"/>
    </row>
    <row r="18" spans="1:133">
      <c r="A18" s="418" t="str">
        <f t="shared" si="0"/>
        <v xml:space="preserve"> </v>
      </c>
      <c r="B18" s="419"/>
      <c r="C18" s="420">
        <v>8</v>
      </c>
      <c r="D18" s="597"/>
      <c r="E18" s="420"/>
      <c r="F18" s="421"/>
      <c r="G18" s="422"/>
      <c r="H18" s="421"/>
      <c r="I18" s="421"/>
      <c r="J18" s="421"/>
      <c r="K18" s="423"/>
      <c r="L18" s="424"/>
      <c r="M18" s="425">
        <v>1</v>
      </c>
      <c r="N18" s="426" cm="1">
        <f t="array" ref="N18">F18*LOOKUP(100,1/($C$1:INDEX($C:$C,ROW()-1)=$C18-1),$N$1:INDEX($N:$N,ROW()-1))</f>
        <v>0</v>
      </c>
      <c r="O18" s="427" cm="1">
        <f t="array" ref="O18">IFERROR(IF(INDEX($C:$C,ROW()+1)=$C18+1,SUMIF(INDEX($C:$C,ROW()+1):INDEX($C:$C,IFERROR(ROW()+MATCH($C18,INDEX($C:$C,ROW()+1):INDEX($C:$C,MAX(ROW(BOM))),0)-1,MAX(ROW(BOM)))),$C18+1,INDEX($O:$O,ROW()+1):INDEX($O:$O,IFERROR(ROW()+MATCH($C18,INDEX($C:$C,ROW()+1):INDEX($C:$C,MAX(ROW(BOM))),0)-1,MAX(ROW(BOM))))),$N18*$G18),0)</f>
        <v>0</v>
      </c>
      <c r="P18" s="428" cm="1">
        <f t="array" ref="P18">IFERROR(SUMIF(INDEX($C:$C,ROW()+1):INDEX($C:$C,IFERROR(ROW()+MATCH($C18,INDEX($C:$C,ROW()+1):INDEX($C:$C,MAX(ROW(BOM))),0)-1,MAX(ROW(BOM)))),$C18+1,INDEX($F:$F,ROW()+1):INDEX($F:$F,IFERROR(ROW()+MATCH($C18,INDEX($C:$C,ROW()+1):INDEX($C:$C,MAX(ROW(BOM))),0)-1,MAX(ROW(BOM))))),0)</f>
        <v>0</v>
      </c>
      <c r="Q18" s="419"/>
      <c r="R18" s="429"/>
      <c r="S18" s="430"/>
      <c r="BW18" s="5"/>
      <c r="BX18" s="5"/>
      <c r="BY18" s="5"/>
      <c r="EC18" s="783"/>
    </row>
    <row r="19" spans="1:133">
      <c r="A19" s="431" t="str">
        <f>CONCATENATE(B19&amp;" "&amp;D19)</f>
        <v xml:space="preserve"> </v>
      </c>
      <c r="B19" s="432"/>
      <c r="C19" s="433">
        <v>9</v>
      </c>
      <c r="D19" s="434"/>
      <c r="E19" s="332"/>
      <c r="F19" s="435"/>
      <c r="G19" s="436"/>
      <c r="H19" s="435"/>
      <c r="I19" s="435"/>
      <c r="J19" s="435"/>
      <c r="K19" s="437"/>
      <c r="L19" s="438"/>
      <c r="M19" s="439">
        <v>1</v>
      </c>
      <c r="N19" s="440" cm="1">
        <f t="array" ref="N19">F19*LOOKUP(100,1/($C$1:INDEX($C:$C,ROW()-1)=$C19-1),$N$1:INDEX($N:$N,ROW()-1))</f>
        <v>0</v>
      </c>
      <c r="O19" s="441" cm="1">
        <f t="array" ref="O19">IFERROR(IF(INDEX($C:$C,ROW()+1)=$C19+1,SUMIF(INDEX($C:$C,ROW()+1):INDEX($C:$C,IFERROR(ROW()+MATCH($C19,INDEX($C:$C,ROW()+1):INDEX($C:$C,MAX(ROW(BOM))),0)-1,MAX(ROW(BOM)))),$C19+1,INDEX($O:$O,ROW()+1):INDEX($O:$O,IFERROR(ROW()+MATCH($C19,INDEX($C:$C,ROW()+1):INDEX($C:$C,MAX(ROW(BOM))),0)-1,MAX(ROW(BOM))))),$N19*$G19),0)</f>
        <v>0</v>
      </c>
      <c r="P19" s="442" cm="1">
        <f t="array" ref="P19">IFERROR(SUMIF(INDEX($C:$C,ROW()+1):INDEX($C:$C,IFERROR(ROW()+MATCH($C19,INDEX($C:$C,ROW()+1):INDEX($C:$C,MAX(ROW(BOM))),0)-1,MAX(ROW(BOM)))),$C19+1,INDEX($F:$F,ROW()+1):INDEX($F:$F,IFERROR(ROW()+MATCH($C19,INDEX($C:$C,ROW()+1):INDEX($C:$C,MAX(ROW(BOM))),0)-1,MAX(ROW(BOM))))),0)</f>
        <v>0</v>
      </c>
      <c r="Q19" s="432"/>
      <c r="R19" s="443"/>
      <c r="S19" s="430"/>
      <c r="BW19" s="5"/>
      <c r="BX19" s="5"/>
      <c r="BY19" s="5"/>
      <c r="EC19" s="783"/>
    </row>
    <row r="20" spans="1:133">
      <c r="EC20" s="783"/>
    </row>
    <row r="21" spans="1:133" hidden="1">
      <c r="EC21" s="783"/>
    </row>
    <row r="22" spans="1:133" hidden="1">
      <c r="EC22" s="783"/>
    </row>
    <row r="23" spans="1:133" hidden="1">
      <c r="EC23" s="783"/>
    </row>
    <row r="24" spans="1:133" hidden="1">
      <c r="EC24" s="783"/>
    </row>
    <row r="25" spans="1:133" hidden="1">
      <c r="EC25" s="783"/>
    </row>
    <row r="26" spans="1:133" hidden="1">
      <c r="EC26" s="783"/>
    </row>
    <row r="27" spans="1:133" hidden="1">
      <c r="EC27" s="783"/>
    </row>
    <row r="28" spans="1:133" hidden="1">
      <c r="EC28" s="783"/>
    </row>
    <row r="29" spans="1:133" hidden="1">
      <c r="EC29" s="783"/>
    </row>
    <row r="30" spans="1:133" hidden="1">
      <c r="EC30" s="783"/>
    </row>
    <row r="31" spans="1:133" hidden="1">
      <c r="EC31" s="783"/>
    </row>
    <row r="32" spans="1:133" hidden="1">
      <c r="EC32" s="783"/>
    </row>
    <row r="33" spans="133:133" hidden="1">
      <c r="EC33" s="783"/>
    </row>
    <row r="34" spans="133:133" hidden="1">
      <c r="EC34" s="783"/>
    </row>
    <row r="35" spans="133:133" hidden="1">
      <c r="EC35" s="783"/>
    </row>
    <row r="36" spans="133:133" hidden="1">
      <c r="EC36" s="783"/>
    </row>
    <row r="37" spans="133:133" hidden="1">
      <c r="EC37" s="783"/>
    </row>
    <row r="38" spans="133:133" hidden="1">
      <c r="EC38" s="783"/>
    </row>
    <row r="39" spans="133:133" hidden="1">
      <c r="EC39" s="783"/>
    </row>
    <row r="40" spans="133:133" hidden="1">
      <c r="EC40" s="783"/>
    </row>
    <row r="41" spans="133:133" hidden="1">
      <c r="EC41" s="783"/>
    </row>
    <row r="42" spans="133:133" hidden="1">
      <c r="EC42" s="783"/>
    </row>
    <row r="43" spans="133:133" hidden="1">
      <c r="EC43" s="783"/>
    </row>
    <row r="44" spans="133:133" hidden="1">
      <c r="EC44" s="783"/>
    </row>
    <row r="45" spans="133:133" hidden="1">
      <c r="EC45" s="783"/>
    </row>
    <row r="46" spans="133:133" hidden="1">
      <c r="EC46" s="783"/>
    </row>
    <row r="47" spans="133:133" hidden="1">
      <c r="EC47" s="783"/>
    </row>
    <row r="48" spans="133:133" hidden="1">
      <c r="EC48" s="783"/>
    </row>
    <row r="49" spans="133:133" hidden="1">
      <c r="EC49" s="783"/>
    </row>
    <row r="50" spans="133:133" hidden="1">
      <c r="EC50" s="783"/>
    </row>
    <row r="51" spans="133:133" hidden="1">
      <c r="EC51" s="783"/>
    </row>
    <row r="52" spans="133:133" hidden="1">
      <c r="EC52" s="783"/>
    </row>
    <row r="53" spans="133:133" hidden="1">
      <c r="EC53" s="783"/>
    </row>
    <row r="54" spans="133:133" hidden="1">
      <c r="EC54" s="783"/>
    </row>
    <row r="55" spans="133:133" hidden="1">
      <c r="EC55" s="783"/>
    </row>
    <row r="56" spans="133:133" hidden="1">
      <c r="EC56" s="783"/>
    </row>
    <row r="57" spans="133:133" hidden="1">
      <c r="EC57" s="783"/>
    </row>
    <row r="58" spans="133:133" hidden="1">
      <c r="EC58" s="783"/>
    </row>
    <row r="59" spans="133:133" hidden="1">
      <c r="EC59" s="783"/>
    </row>
    <row r="60" spans="133:133" hidden="1">
      <c r="EC60" s="783"/>
    </row>
    <row r="61" spans="133:133" hidden="1">
      <c r="EC61" s="783"/>
    </row>
    <row r="62" spans="133:133" hidden="1">
      <c r="EC62" s="783"/>
    </row>
    <row r="63" spans="133:133" hidden="1">
      <c r="EC63" s="783"/>
    </row>
    <row r="64" spans="133:133" hidden="1">
      <c r="EC64" s="783"/>
    </row>
    <row r="65" spans="133:133" hidden="1">
      <c r="EC65" s="783"/>
    </row>
    <row r="66" spans="133:133" hidden="1">
      <c r="EC66" s="783"/>
    </row>
    <row r="67" spans="133:133" hidden="1">
      <c r="EC67" s="783"/>
    </row>
    <row r="68" spans="133:133" hidden="1">
      <c r="EC68" s="783"/>
    </row>
    <row r="69" spans="133:133" hidden="1">
      <c r="EC69" s="783"/>
    </row>
    <row r="70" spans="133:133" hidden="1">
      <c r="EC70" s="783"/>
    </row>
    <row r="71" spans="133:133" hidden="1">
      <c r="EC71" s="783"/>
    </row>
    <row r="72" spans="133:133" hidden="1">
      <c r="EC72" s="783"/>
    </row>
    <row r="73" spans="133:133" hidden="1">
      <c r="EC73" s="783"/>
    </row>
    <row r="74" spans="133:133" hidden="1">
      <c r="EC74" s="783"/>
    </row>
    <row r="75" spans="133:133" hidden="1">
      <c r="EC75" s="783"/>
    </row>
    <row r="76" spans="133:133" hidden="1">
      <c r="EC76" s="783"/>
    </row>
    <row r="77" spans="133:133" hidden="1">
      <c r="EC77" s="783"/>
    </row>
    <row r="78" spans="133:133" hidden="1">
      <c r="EC78" s="783"/>
    </row>
    <row r="79" spans="133:133" hidden="1">
      <c r="EC79" s="783"/>
    </row>
    <row r="80" spans="133:133" hidden="1">
      <c r="EC80" s="783"/>
    </row>
    <row r="81" spans="133:133" hidden="1">
      <c r="EC81" s="783"/>
    </row>
    <row r="82" spans="133:133" hidden="1">
      <c r="EC82" s="783"/>
    </row>
    <row r="83" spans="133:133" hidden="1">
      <c r="EC83" s="783"/>
    </row>
    <row r="84" spans="133:133" hidden="1">
      <c r="EC84" s="783"/>
    </row>
    <row r="85" spans="133:133" hidden="1">
      <c r="EC85" s="783"/>
    </row>
    <row r="86" spans="133:133" hidden="1">
      <c r="EC86" s="783"/>
    </row>
    <row r="87" spans="133:133" hidden="1">
      <c r="EC87" s="783"/>
    </row>
    <row r="88" spans="133:133" hidden="1">
      <c r="EC88" s="783"/>
    </row>
    <row r="89" spans="133:133" hidden="1">
      <c r="EC89" s="783"/>
    </row>
    <row r="90" spans="133:133" hidden="1">
      <c r="EC90" s="783"/>
    </row>
    <row r="91" spans="133:133" hidden="1">
      <c r="EC91" s="783"/>
    </row>
    <row r="92" spans="133:133" hidden="1">
      <c r="EC92" s="783"/>
    </row>
    <row r="93" spans="133:133" hidden="1">
      <c r="EC93" s="783"/>
    </row>
    <row r="94" spans="133:133" hidden="1">
      <c r="EC94" s="783"/>
    </row>
    <row r="95" spans="133:133" hidden="1">
      <c r="EC95" s="783"/>
    </row>
    <row r="96" spans="133:133" hidden="1">
      <c r="EC96" s="783"/>
    </row>
    <row r="97" spans="133:133" hidden="1">
      <c r="EC97" s="783"/>
    </row>
    <row r="98" spans="133:133" hidden="1">
      <c r="EC98" s="783"/>
    </row>
    <row r="99" spans="133:133" hidden="1">
      <c r="EC99" s="783"/>
    </row>
    <row r="100" spans="133:133" hidden="1">
      <c r="EC100" s="783"/>
    </row>
    <row r="101" spans="133:133" hidden="1">
      <c r="EC101" s="783"/>
    </row>
    <row r="102" spans="133:133" hidden="1">
      <c r="EC102" s="783"/>
    </row>
    <row r="103" spans="133:133" hidden="1">
      <c r="EC103" s="783"/>
    </row>
    <row r="104" spans="133:133" hidden="1">
      <c r="EC104" s="783"/>
    </row>
    <row r="105" spans="133:133" hidden="1">
      <c r="EC105" s="783"/>
    </row>
    <row r="106" spans="133:133" hidden="1">
      <c r="EC106" s="783"/>
    </row>
    <row r="107" spans="133:133" hidden="1">
      <c r="EC107" s="783"/>
    </row>
    <row r="108" spans="133:133" hidden="1">
      <c r="EC108" s="783"/>
    </row>
    <row r="109" spans="133:133" hidden="1">
      <c r="EC109" s="783"/>
    </row>
    <row r="110" spans="133:133" hidden="1">
      <c r="EC110" s="783"/>
    </row>
    <row r="111" spans="133:133" hidden="1">
      <c r="EC111" s="783"/>
    </row>
    <row r="112" spans="133:133" hidden="1">
      <c r="EC112" s="783"/>
    </row>
    <row r="113" spans="133:133" hidden="1">
      <c r="EC113" s="783"/>
    </row>
    <row r="114" spans="133:133" hidden="1">
      <c r="EC114" s="783"/>
    </row>
    <row r="115" spans="133:133" hidden="1">
      <c r="EC115" s="783"/>
    </row>
    <row r="116" spans="133:133" hidden="1">
      <c r="EC116" s="783"/>
    </row>
    <row r="117" spans="133:133" hidden="1">
      <c r="EC117" s="783"/>
    </row>
    <row r="118" spans="133:133" hidden="1">
      <c r="EC118" s="783"/>
    </row>
    <row r="119" spans="133:133" hidden="1">
      <c r="EC119" s="783"/>
    </row>
    <row r="120" spans="133:133" hidden="1">
      <c r="EC120" s="783"/>
    </row>
    <row r="121" spans="133:133" hidden="1">
      <c r="EC121" s="783"/>
    </row>
    <row r="122" spans="133:133" hidden="1">
      <c r="EC122" s="783"/>
    </row>
    <row r="123" spans="133:133" hidden="1">
      <c r="EC123" s="783"/>
    </row>
    <row r="124" spans="133:133" hidden="1">
      <c r="EC124" s="783"/>
    </row>
    <row r="125" spans="133:133" hidden="1">
      <c r="EC125" s="783"/>
    </row>
    <row r="126" spans="133:133" hidden="1">
      <c r="EC126" s="783"/>
    </row>
    <row r="127" spans="133:133" hidden="1">
      <c r="EC127" s="783"/>
    </row>
    <row r="128" spans="133:133" hidden="1">
      <c r="EC128" s="783"/>
    </row>
    <row r="129" spans="133:133" hidden="1">
      <c r="EC129" s="783"/>
    </row>
    <row r="130" spans="133:133" hidden="1">
      <c r="EC130" s="783"/>
    </row>
    <row r="131" spans="133:133" hidden="1">
      <c r="EC131" s="783"/>
    </row>
    <row r="132" spans="133:133" hidden="1">
      <c r="EC132" s="783"/>
    </row>
    <row r="133" spans="133:133" hidden="1">
      <c r="EC133" s="783"/>
    </row>
    <row r="134" spans="133:133" hidden="1">
      <c r="EC134" s="783"/>
    </row>
    <row r="135" spans="133:133" hidden="1">
      <c r="EC135" s="783"/>
    </row>
    <row r="136" spans="133:133" hidden="1">
      <c r="EC136" s="783"/>
    </row>
    <row r="137" spans="133:133" hidden="1">
      <c r="EC137" s="783"/>
    </row>
    <row r="138" spans="133:133" hidden="1">
      <c r="EC138" s="783"/>
    </row>
    <row r="139" spans="133:133" hidden="1">
      <c r="EC139" s="783"/>
    </row>
    <row r="140" spans="133:133" hidden="1">
      <c r="EC140" s="783"/>
    </row>
    <row r="141" spans="133:133" hidden="1">
      <c r="EC141" s="783"/>
    </row>
    <row r="142" spans="133:133" hidden="1">
      <c r="EC142" s="783"/>
    </row>
    <row r="143" spans="133:133" hidden="1">
      <c r="EC143" s="783"/>
    </row>
    <row r="144" spans="133:133" hidden="1">
      <c r="EC144" s="783"/>
    </row>
    <row r="145" spans="133:133" hidden="1">
      <c r="EC145" s="783"/>
    </row>
    <row r="146" spans="133:133" hidden="1">
      <c r="EC146" s="783"/>
    </row>
    <row r="147" spans="133:133" hidden="1">
      <c r="EC147" s="783"/>
    </row>
    <row r="148" spans="133:133" hidden="1">
      <c r="EC148" s="783"/>
    </row>
    <row r="149" spans="133:133" hidden="1">
      <c r="EC149" s="783"/>
    </row>
    <row r="150" spans="133:133" hidden="1">
      <c r="EC150" s="783"/>
    </row>
    <row r="151" spans="133:133" hidden="1">
      <c r="EC151" s="783"/>
    </row>
    <row r="152" spans="133:133" hidden="1">
      <c r="EC152" s="783"/>
    </row>
    <row r="153" spans="133:133" hidden="1">
      <c r="EC153" s="783"/>
    </row>
    <row r="154" spans="133:133" hidden="1">
      <c r="EC154" s="783"/>
    </row>
    <row r="155" spans="133:133" hidden="1">
      <c r="EC155" s="783"/>
    </row>
    <row r="156" spans="133:133" hidden="1">
      <c r="EC156" s="783"/>
    </row>
    <row r="157" spans="133:133" hidden="1">
      <c r="EC157" s="783"/>
    </row>
    <row r="158" spans="133:133" hidden="1">
      <c r="EC158" s="783"/>
    </row>
    <row r="159" spans="133:133" hidden="1">
      <c r="EC159" s="783"/>
    </row>
    <row r="160" spans="133:133" hidden="1">
      <c r="EC160" s="783"/>
    </row>
    <row r="161" spans="133:133" hidden="1">
      <c r="EC161" s="783"/>
    </row>
    <row r="162" spans="133:133" hidden="1">
      <c r="EC162" s="783"/>
    </row>
    <row r="163" spans="133:133" hidden="1">
      <c r="EC163" s="783"/>
    </row>
    <row r="164" spans="133:133" hidden="1">
      <c r="EC164" s="783"/>
    </row>
    <row r="165" spans="133:133" hidden="1">
      <c r="EC165" s="783"/>
    </row>
    <row r="166" spans="133:133" hidden="1">
      <c r="EC166" s="783"/>
    </row>
    <row r="167" spans="133:133" hidden="1">
      <c r="EC167" s="783"/>
    </row>
    <row r="168" spans="133:133" hidden="1">
      <c r="EC168" s="783"/>
    </row>
    <row r="169" spans="133:133" hidden="1">
      <c r="EC169" s="783"/>
    </row>
    <row r="170" spans="133:133" hidden="1">
      <c r="EC170" s="783"/>
    </row>
    <row r="171" spans="133:133" hidden="1">
      <c r="EC171" s="783"/>
    </row>
    <row r="172" spans="133:133" hidden="1">
      <c r="EC172" s="783"/>
    </row>
    <row r="173" spans="133:133" hidden="1">
      <c r="EC173" s="783"/>
    </row>
    <row r="174" spans="133:133" hidden="1">
      <c r="EC174" s="783"/>
    </row>
    <row r="175" spans="133:133" hidden="1">
      <c r="EC175" s="783"/>
    </row>
    <row r="176" spans="133:133" hidden="1">
      <c r="EC176" s="783"/>
    </row>
    <row r="177" spans="133:133" hidden="1">
      <c r="EC177" s="783"/>
    </row>
    <row r="178" spans="133:133" hidden="1">
      <c r="EC178" s="783"/>
    </row>
    <row r="179" spans="133:133" hidden="1">
      <c r="EC179" s="783"/>
    </row>
    <row r="180" spans="133:133" hidden="1">
      <c r="EC180" s="783"/>
    </row>
    <row r="181" spans="133:133" hidden="1">
      <c r="EC181" s="783"/>
    </row>
    <row r="182" spans="133:133" hidden="1">
      <c r="EC182" s="783"/>
    </row>
    <row r="183" spans="133:133" hidden="1">
      <c r="EC183" s="783"/>
    </row>
    <row r="184" spans="133:133" hidden="1">
      <c r="EC184" s="783"/>
    </row>
    <row r="185" spans="133:133" hidden="1">
      <c r="EC185" s="783"/>
    </row>
    <row r="186" spans="133:133" hidden="1">
      <c r="EC186" s="783"/>
    </row>
    <row r="187" spans="133:133" hidden="1">
      <c r="EC187" s="783"/>
    </row>
    <row r="188" spans="133:133" hidden="1">
      <c r="EC188" s="783"/>
    </row>
    <row r="189" spans="133:133" hidden="1">
      <c r="EC189" s="783"/>
    </row>
    <row r="190" spans="133:133" hidden="1">
      <c r="EC190" s="783"/>
    </row>
    <row r="191" spans="133:133" hidden="1">
      <c r="EC191" s="783"/>
    </row>
    <row r="192" spans="133:133" hidden="1">
      <c r="EC192" s="783"/>
    </row>
    <row r="193" spans="133:133" hidden="1">
      <c r="EC193" s="783"/>
    </row>
    <row r="194" spans="133:133" hidden="1">
      <c r="EC194" s="783"/>
    </row>
    <row r="195" spans="133:133" hidden="1">
      <c r="EC195" s="783"/>
    </row>
    <row r="196" spans="133:133" hidden="1">
      <c r="EC196" s="783"/>
    </row>
    <row r="197" spans="133:133" hidden="1">
      <c r="EC197" s="783"/>
    </row>
    <row r="198" spans="133:133" hidden="1">
      <c r="EC198" s="783"/>
    </row>
    <row r="199" spans="133:133" hidden="1">
      <c r="EC199" s="783"/>
    </row>
    <row r="200" spans="133:133" hidden="1">
      <c r="EC200" s="783"/>
    </row>
    <row r="201" spans="133:133" hidden="1">
      <c r="EC201" s="783"/>
    </row>
    <row r="202" spans="133:133" hidden="1">
      <c r="EC202" s="783"/>
    </row>
    <row r="203" spans="133:133" hidden="1">
      <c r="EC203" s="783"/>
    </row>
    <row r="204" spans="133:133" hidden="1">
      <c r="EC204" s="783"/>
    </row>
    <row r="205" spans="133:133" hidden="1">
      <c r="EC205" s="783"/>
    </row>
    <row r="206" spans="133:133" hidden="1">
      <c r="EC206" s="783"/>
    </row>
    <row r="207" spans="133:133" hidden="1">
      <c r="EC207" s="783"/>
    </row>
    <row r="208" spans="133:133" hidden="1">
      <c r="EC208" s="783"/>
    </row>
    <row r="209" spans="133:133" hidden="1">
      <c r="EC209" s="783"/>
    </row>
    <row r="210" spans="133:133" hidden="1">
      <c r="EC210" s="783"/>
    </row>
    <row r="211" spans="133:133" hidden="1">
      <c r="EC211" s="783"/>
    </row>
    <row r="212" spans="133:133" hidden="1">
      <c r="EC212" s="783"/>
    </row>
    <row r="213" spans="133:133" hidden="1">
      <c r="EC213" s="783"/>
    </row>
    <row r="214" spans="133:133" hidden="1">
      <c r="EC214" s="783"/>
    </row>
    <row r="215" spans="133:133" hidden="1">
      <c r="EC215" s="783"/>
    </row>
    <row r="216" spans="133:133" hidden="1">
      <c r="EC216" s="783"/>
    </row>
    <row r="217" spans="133:133" hidden="1">
      <c r="EC217" s="783"/>
    </row>
    <row r="218" spans="133:133" hidden="1">
      <c r="EC218" s="783"/>
    </row>
    <row r="219" spans="133:133" hidden="1">
      <c r="EC219" s="783"/>
    </row>
    <row r="220" spans="133:133" hidden="1">
      <c r="EC220" s="783"/>
    </row>
    <row r="221" spans="133:133" hidden="1">
      <c r="EC221" s="783"/>
    </row>
    <row r="222" spans="133:133" hidden="1">
      <c r="EC222" s="783"/>
    </row>
    <row r="223" spans="133:133" hidden="1">
      <c r="EC223" s="783"/>
    </row>
    <row r="224" spans="133:133" hidden="1">
      <c r="EC224" s="783"/>
    </row>
    <row r="225" spans="133:133" hidden="1">
      <c r="EC225" s="783"/>
    </row>
    <row r="226" spans="133:133" hidden="1">
      <c r="EC226" s="783"/>
    </row>
    <row r="227" spans="133:133" hidden="1">
      <c r="EC227" s="783"/>
    </row>
    <row r="228" spans="133:133" hidden="1">
      <c r="EC228" s="783"/>
    </row>
    <row r="229" spans="133:133" hidden="1">
      <c r="EC229" s="783"/>
    </row>
    <row r="230" spans="133:133" hidden="1">
      <c r="EC230" s="783"/>
    </row>
    <row r="231" spans="133:133" hidden="1">
      <c r="EC231" s="783"/>
    </row>
    <row r="232" spans="133:133" hidden="1">
      <c r="EC232" s="783"/>
    </row>
    <row r="233" spans="133:133" hidden="1">
      <c r="EC233" s="783"/>
    </row>
    <row r="234" spans="133:133" hidden="1">
      <c r="EC234" s="783"/>
    </row>
    <row r="235" spans="133:133" hidden="1">
      <c r="EC235" s="783"/>
    </row>
    <row r="236" spans="133:133" hidden="1">
      <c r="EC236" s="783"/>
    </row>
    <row r="237" spans="133:133" hidden="1">
      <c r="EC237" s="783"/>
    </row>
    <row r="238" spans="133:133" hidden="1">
      <c r="EC238" s="783"/>
    </row>
    <row r="239" spans="133:133" hidden="1">
      <c r="EC239" s="783"/>
    </row>
    <row r="240" spans="133:133" hidden="1">
      <c r="EC240" s="783"/>
    </row>
    <row r="241" spans="133:133" hidden="1">
      <c r="EC241" s="783"/>
    </row>
    <row r="242" spans="133:133" hidden="1">
      <c r="EC242" s="783"/>
    </row>
    <row r="243" spans="133:133" hidden="1">
      <c r="EC243" s="783"/>
    </row>
    <row r="244" spans="133:133" hidden="1">
      <c r="EC244" s="783"/>
    </row>
    <row r="245" spans="133:133" hidden="1">
      <c r="EC245" s="783"/>
    </row>
    <row r="246" spans="133:133" hidden="1">
      <c r="EC246" s="783"/>
    </row>
    <row r="247" spans="133:133" hidden="1">
      <c r="EC247" s="783"/>
    </row>
    <row r="248" spans="133:133" hidden="1">
      <c r="EC248" s="783"/>
    </row>
    <row r="249" spans="133:133" hidden="1">
      <c r="EC249" s="783"/>
    </row>
    <row r="250" spans="133:133" hidden="1">
      <c r="EC250" s="783"/>
    </row>
    <row r="251" spans="133:133" hidden="1">
      <c r="EC251" s="783"/>
    </row>
    <row r="252" spans="133:133" hidden="1">
      <c r="EC252" s="783"/>
    </row>
    <row r="253" spans="133:133" hidden="1">
      <c r="EC253" s="783"/>
    </row>
    <row r="254" spans="133:133" hidden="1">
      <c r="EC254" s="783"/>
    </row>
    <row r="255" spans="133:133" hidden="1">
      <c r="EC255" s="783"/>
    </row>
    <row r="256" spans="133:133" hidden="1">
      <c r="EC256" s="783"/>
    </row>
    <row r="257" spans="133:133" hidden="1">
      <c r="EC257" s="783"/>
    </row>
    <row r="258" spans="133:133" hidden="1">
      <c r="EC258" s="783"/>
    </row>
    <row r="259" spans="133:133" hidden="1">
      <c r="EC259" s="783"/>
    </row>
    <row r="260" spans="133:133" hidden="1">
      <c r="EC260" s="783"/>
    </row>
    <row r="261" spans="133:133" hidden="1">
      <c r="EC261" s="783"/>
    </row>
    <row r="262" spans="133:133" hidden="1">
      <c r="EC262" s="783"/>
    </row>
    <row r="263" spans="133:133" hidden="1">
      <c r="EC263" s="783"/>
    </row>
    <row r="264" spans="133:133" hidden="1">
      <c r="EC264" s="783"/>
    </row>
    <row r="265" spans="133:133" hidden="1">
      <c r="EC265" s="783"/>
    </row>
    <row r="266" spans="133:133" hidden="1">
      <c r="EC266" s="783"/>
    </row>
    <row r="267" spans="133:133" hidden="1">
      <c r="EC267" s="783"/>
    </row>
    <row r="268" spans="133:133" hidden="1">
      <c r="EC268" s="783"/>
    </row>
    <row r="269" spans="133:133" hidden="1">
      <c r="EC269" s="783"/>
    </row>
    <row r="270" spans="133:133" hidden="1">
      <c r="EC270" s="783"/>
    </row>
    <row r="271" spans="133:133" hidden="1">
      <c r="EC271" s="783"/>
    </row>
    <row r="272" spans="133:133" hidden="1">
      <c r="EC272" s="783"/>
    </row>
    <row r="273" spans="133:133" hidden="1">
      <c r="EC273" s="783"/>
    </row>
    <row r="274" spans="133:133" hidden="1">
      <c r="EC274" s="783"/>
    </row>
    <row r="275" spans="133:133" hidden="1">
      <c r="EC275" s="783"/>
    </row>
    <row r="276" spans="133:133" hidden="1">
      <c r="EC276" s="783"/>
    </row>
    <row r="277" spans="133:133" hidden="1">
      <c r="EC277" s="783"/>
    </row>
    <row r="278" spans="133:133" hidden="1">
      <c r="EC278" s="783"/>
    </row>
    <row r="279" spans="133:133" hidden="1">
      <c r="EC279" s="783"/>
    </row>
    <row r="280" spans="133:133" hidden="1">
      <c r="EC280" s="783"/>
    </row>
    <row r="281" spans="133:133" hidden="1">
      <c r="EC281" s="783"/>
    </row>
    <row r="282" spans="133:133" hidden="1">
      <c r="EC282" s="783"/>
    </row>
    <row r="283" spans="133:133" hidden="1">
      <c r="EC283" s="783"/>
    </row>
    <row r="284" spans="133:133" hidden="1">
      <c r="EC284" s="783"/>
    </row>
    <row r="285" spans="133:133" hidden="1">
      <c r="EC285" s="783"/>
    </row>
    <row r="286" spans="133:133" hidden="1">
      <c r="EC286" s="783"/>
    </row>
    <row r="287" spans="133:133" hidden="1">
      <c r="EC287" s="783"/>
    </row>
    <row r="288" spans="133:133" hidden="1">
      <c r="EC288" s="783"/>
    </row>
    <row r="289" spans="133:133" hidden="1">
      <c r="EC289" s="783"/>
    </row>
    <row r="290" spans="133:133" hidden="1">
      <c r="EC290" s="783"/>
    </row>
    <row r="291" spans="133:133" hidden="1">
      <c r="EC291" s="783"/>
    </row>
    <row r="292" spans="133:133" hidden="1">
      <c r="EC292" s="783"/>
    </row>
    <row r="293" spans="133:133" hidden="1">
      <c r="EC293" s="783"/>
    </row>
    <row r="294" spans="133:133" hidden="1">
      <c r="EC294" s="783"/>
    </row>
    <row r="295" spans="133:133" hidden="1">
      <c r="EC295" s="783"/>
    </row>
    <row r="296" spans="133:133" hidden="1">
      <c r="EC296" s="783"/>
    </row>
    <row r="297" spans="133:133" hidden="1">
      <c r="EC297" s="783"/>
    </row>
    <row r="298" spans="133:133" hidden="1">
      <c r="EC298" s="783"/>
    </row>
    <row r="299" spans="133:133" hidden="1">
      <c r="EC299" s="783"/>
    </row>
    <row r="300" spans="133:133" hidden="1">
      <c r="EC300" s="783"/>
    </row>
    <row r="301" spans="133:133" hidden="1">
      <c r="EC301" s="783"/>
    </row>
    <row r="302" spans="133:133" hidden="1">
      <c r="EC302" s="783"/>
    </row>
    <row r="303" spans="133:133" hidden="1">
      <c r="EC303" s="783"/>
    </row>
    <row r="304" spans="133:133" hidden="1">
      <c r="EC304" s="783"/>
    </row>
    <row r="305" spans="133:133" hidden="1">
      <c r="EC305" s="783"/>
    </row>
    <row r="306" spans="133:133" hidden="1">
      <c r="EC306" s="783"/>
    </row>
    <row r="307" spans="133:133" hidden="1">
      <c r="EC307" s="783"/>
    </row>
    <row r="308" spans="133:133" hidden="1">
      <c r="EC308" s="783"/>
    </row>
    <row r="309" spans="133:133" hidden="1">
      <c r="EC309" s="783"/>
    </row>
    <row r="310" spans="133:133" hidden="1">
      <c r="EC310" s="783"/>
    </row>
    <row r="311" spans="133:133" hidden="1">
      <c r="EC311" s="783"/>
    </row>
    <row r="312" spans="133:133" hidden="1">
      <c r="EC312" s="783"/>
    </row>
    <row r="313" spans="133:133" hidden="1">
      <c r="EC313" s="783"/>
    </row>
    <row r="314" spans="133:133" hidden="1">
      <c r="EC314" s="783"/>
    </row>
    <row r="315" spans="133:133" hidden="1">
      <c r="EC315" s="783"/>
    </row>
    <row r="316" spans="133:133" hidden="1">
      <c r="EC316" s="783"/>
    </row>
    <row r="317" spans="133:133" hidden="1">
      <c r="EC317" s="783"/>
    </row>
    <row r="318" spans="133:133" hidden="1">
      <c r="EC318" s="783"/>
    </row>
    <row r="319" spans="133:133" hidden="1">
      <c r="EC319" s="783"/>
    </row>
    <row r="320" spans="133:133" hidden="1">
      <c r="EC320" s="783"/>
    </row>
    <row r="321" spans="133:133" hidden="1">
      <c r="EC321" s="783"/>
    </row>
    <row r="322" spans="133:133" hidden="1">
      <c r="EC322" s="783"/>
    </row>
    <row r="323" spans="133:133" hidden="1">
      <c r="EC323" s="783"/>
    </row>
    <row r="324" spans="133:133" hidden="1">
      <c r="EC324" s="783"/>
    </row>
    <row r="325" spans="133:133" hidden="1">
      <c r="EC325" s="783"/>
    </row>
    <row r="326" spans="133:133" hidden="1">
      <c r="EC326" s="783"/>
    </row>
    <row r="327" spans="133:133" hidden="1">
      <c r="EC327" s="783"/>
    </row>
    <row r="328" spans="133:133" hidden="1">
      <c r="EC328" s="783"/>
    </row>
    <row r="329" spans="133:133" hidden="1">
      <c r="EC329" s="783"/>
    </row>
    <row r="330" spans="133:133" hidden="1">
      <c r="EC330" s="783"/>
    </row>
    <row r="331" spans="133:133" hidden="1">
      <c r="EC331" s="783"/>
    </row>
    <row r="332" spans="133:133" hidden="1">
      <c r="EC332" s="783"/>
    </row>
    <row r="333" spans="133:133" hidden="1">
      <c r="EC333" s="783"/>
    </row>
    <row r="334" spans="133:133" hidden="1">
      <c r="EC334" s="783"/>
    </row>
    <row r="335" spans="133:133" hidden="1">
      <c r="EC335" s="783"/>
    </row>
    <row r="336" spans="133:133" hidden="1">
      <c r="EC336" s="783"/>
    </row>
    <row r="337" spans="133:133" hidden="1">
      <c r="EC337" s="783"/>
    </row>
    <row r="338" spans="133:133" hidden="1">
      <c r="EC338" s="783"/>
    </row>
    <row r="339" spans="133:133" hidden="1">
      <c r="EC339" s="783"/>
    </row>
    <row r="340" spans="133:133" hidden="1">
      <c r="EC340" s="783"/>
    </row>
    <row r="341" spans="133:133" hidden="1">
      <c r="EC341" s="783"/>
    </row>
    <row r="342" spans="133:133" hidden="1">
      <c r="EC342" s="783"/>
    </row>
    <row r="343" spans="133:133" hidden="1">
      <c r="EC343" s="783"/>
    </row>
    <row r="344" spans="133:133" hidden="1">
      <c r="EC344" s="783"/>
    </row>
    <row r="345" spans="133:133" hidden="1">
      <c r="EC345" s="783"/>
    </row>
    <row r="346" spans="133:133" hidden="1">
      <c r="EC346" s="783"/>
    </row>
    <row r="347" spans="133:133" hidden="1">
      <c r="EC347" s="783"/>
    </row>
    <row r="348" spans="133:133" hidden="1">
      <c r="EC348" s="783"/>
    </row>
    <row r="349" spans="133:133" hidden="1">
      <c r="EC349" s="783"/>
    </row>
    <row r="350" spans="133:133" hidden="1">
      <c r="EC350" s="783"/>
    </row>
    <row r="351" spans="133:133" hidden="1">
      <c r="EC351" s="783"/>
    </row>
    <row r="352" spans="133:133" hidden="1">
      <c r="EC352" s="783"/>
    </row>
    <row r="353" spans="133:133" hidden="1">
      <c r="EC353" s="783"/>
    </row>
    <row r="354" spans="133:133" hidden="1">
      <c r="EC354" s="783"/>
    </row>
    <row r="355" spans="133:133" hidden="1">
      <c r="EC355" s="783"/>
    </row>
    <row r="356" spans="133:133" hidden="1">
      <c r="EC356" s="783"/>
    </row>
    <row r="357" spans="133:133" hidden="1">
      <c r="EC357" s="783"/>
    </row>
    <row r="358" spans="133:133" hidden="1">
      <c r="EC358" s="783"/>
    </row>
    <row r="359" spans="133:133" hidden="1">
      <c r="EC359" s="783"/>
    </row>
    <row r="360" spans="133:133" hidden="1">
      <c r="EC360" s="783"/>
    </row>
    <row r="361" spans="133:133" hidden="1">
      <c r="EC361" s="783"/>
    </row>
    <row r="362" spans="133:133" hidden="1">
      <c r="EC362" s="783"/>
    </row>
    <row r="363" spans="133:133" hidden="1">
      <c r="EC363" s="783"/>
    </row>
    <row r="364" spans="133:133" hidden="1">
      <c r="EC364" s="783"/>
    </row>
    <row r="365" spans="133:133" hidden="1">
      <c r="EC365" s="783"/>
    </row>
    <row r="366" spans="133:133" hidden="1">
      <c r="EC366" s="783"/>
    </row>
    <row r="367" spans="133:133" hidden="1">
      <c r="EC367" s="783"/>
    </row>
    <row r="368" spans="133:133" hidden="1">
      <c r="EC368" s="783"/>
    </row>
    <row r="369" spans="133:133" hidden="1">
      <c r="EC369" s="783"/>
    </row>
    <row r="370" spans="133:133" hidden="1">
      <c r="EC370" s="783"/>
    </row>
    <row r="371" spans="133:133" hidden="1">
      <c r="EC371" s="783"/>
    </row>
    <row r="372" spans="133:133" hidden="1">
      <c r="EC372" s="783"/>
    </row>
    <row r="373" spans="133:133" hidden="1">
      <c r="EC373" s="783"/>
    </row>
    <row r="374" spans="133:133" hidden="1">
      <c r="EC374" s="783"/>
    </row>
    <row r="375" spans="133:133" hidden="1">
      <c r="EC375" s="783"/>
    </row>
    <row r="376" spans="133:133" hidden="1">
      <c r="EC376" s="783"/>
    </row>
    <row r="377" spans="133:133" hidden="1">
      <c r="EC377" s="783"/>
    </row>
    <row r="378" spans="133:133" hidden="1">
      <c r="EC378" s="783"/>
    </row>
    <row r="379" spans="133:133" hidden="1">
      <c r="EC379" s="783"/>
    </row>
    <row r="380" spans="133:133" hidden="1">
      <c r="EC380" s="783"/>
    </row>
    <row r="381" spans="133:133" hidden="1">
      <c r="EC381" s="783"/>
    </row>
    <row r="382" spans="133:133" hidden="1">
      <c r="EC382" s="783"/>
    </row>
    <row r="383" spans="133:133" hidden="1">
      <c r="EC383" s="783"/>
    </row>
    <row r="384" spans="133:133" hidden="1">
      <c r="EC384" s="783"/>
    </row>
    <row r="385" spans="133:133" hidden="1">
      <c r="EC385" s="783"/>
    </row>
    <row r="386" spans="133:133" hidden="1">
      <c r="EC386" s="783"/>
    </row>
    <row r="387" spans="133:133" hidden="1">
      <c r="EC387" s="783"/>
    </row>
    <row r="388" spans="133:133" hidden="1">
      <c r="EC388" s="783"/>
    </row>
    <row r="389" spans="133:133" hidden="1">
      <c r="EC389" s="783"/>
    </row>
    <row r="390" spans="133:133" hidden="1">
      <c r="EC390" s="783"/>
    </row>
    <row r="391" spans="133:133" hidden="1">
      <c r="EC391" s="783"/>
    </row>
    <row r="392" spans="133:133" hidden="1">
      <c r="EC392" s="783"/>
    </row>
    <row r="393" spans="133:133" hidden="1">
      <c r="EC393" s="783"/>
    </row>
    <row r="394" spans="133:133" hidden="1">
      <c r="EC394" s="783"/>
    </row>
    <row r="395" spans="133:133" hidden="1">
      <c r="EC395" s="783"/>
    </row>
    <row r="396" spans="133:133" hidden="1">
      <c r="EC396" s="783"/>
    </row>
    <row r="397" spans="133:133" hidden="1">
      <c r="EC397" s="783"/>
    </row>
    <row r="398" spans="133:133" hidden="1">
      <c r="EC398" s="783"/>
    </row>
    <row r="399" spans="133:133" hidden="1">
      <c r="EC399" s="783"/>
    </row>
    <row r="400" spans="133:133" hidden="1">
      <c r="EC400" s="783"/>
    </row>
    <row r="401" spans="133:133" hidden="1">
      <c r="EC401" s="783"/>
    </row>
    <row r="402" spans="133:133" hidden="1">
      <c r="EC402" s="783"/>
    </row>
    <row r="403" spans="133:133" hidden="1">
      <c r="EC403" s="783"/>
    </row>
    <row r="404" spans="133:133" hidden="1">
      <c r="EC404" s="783"/>
    </row>
    <row r="405" spans="133:133" hidden="1">
      <c r="EC405" s="783"/>
    </row>
    <row r="406" spans="133:133" hidden="1">
      <c r="EC406" s="783"/>
    </row>
    <row r="407" spans="133:133" hidden="1">
      <c r="EC407" s="783"/>
    </row>
    <row r="408" spans="133:133" hidden="1">
      <c r="EC408" s="783"/>
    </row>
    <row r="409" spans="133:133" hidden="1">
      <c r="EC409" s="783"/>
    </row>
    <row r="410" spans="133:133" hidden="1">
      <c r="EC410" s="783"/>
    </row>
    <row r="411" spans="133:133" hidden="1">
      <c r="EC411" s="783"/>
    </row>
    <row r="412" spans="133:133" hidden="1">
      <c r="EC412" s="783"/>
    </row>
    <row r="413" spans="133:133" hidden="1">
      <c r="EC413" s="783"/>
    </row>
    <row r="414" spans="133:133" hidden="1">
      <c r="EC414" s="783"/>
    </row>
    <row r="415" spans="133:133" hidden="1">
      <c r="EC415" s="783"/>
    </row>
    <row r="416" spans="133:133" hidden="1">
      <c r="EC416" s="783"/>
    </row>
    <row r="417" spans="133:133" hidden="1">
      <c r="EC417" s="783"/>
    </row>
    <row r="418" spans="133:133" hidden="1">
      <c r="EC418" s="783"/>
    </row>
    <row r="419" spans="133:133" hidden="1">
      <c r="EC419" s="783"/>
    </row>
    <row r="420" spans="133:133" hidden="1">
      <c r="EC420" s="783"/>
    </row>
    <row r="421" spans="133:133" hidden="1">
      <c r="EC421" s="783"/>
    </row>
    <row r="422" spans="133:133" hidden="1">
      <c r="EC422" s="783"/>
    </row>
    <row r="423" spans="133:133" hidden="1">
      <c r="EC423" s="783"/>
    </row>
    <row r="424" spans="133:133" hidden="1">
      <c r="EC424" s="783"/>
    </row>
    <row r="425" spans="133:133" hidden="1">
      <c r="EC425" s="783"/>
    </row>
    <row r="426" spans="133:133" hidden="1">
      <c r="EC426" s="783"/>
    </row>
    <row r="427" spans="133:133" hidden="1">
      <c r="EC427" s="783"/>
    </row>
    <row r="428" spans="133:133" hidden="1">
      <c r="EC428" s="783"/>
    </row>
    <row r="429" spans="133:133" hidden="1">
      <c r="EC429" s="783"/>
    </row>
    <row r="430" spans="133:133" hidden="1">
      <c r="EC430" s="783"/>
    </row>
    <row r="431" spans="133:133" hidden="1">
      <c r="EC431" s="783"/>
    </row>
    <row r="432" spans="133:133" hidden="1">
      <c r="EC432" s="783"/>
    </row>
    <row r="433" spans="133:133" hidden="1">
      <c r="EC433" s="783"/>
    </row>
    <row r="434" spans="133:133" hidden="1">
      <c r="EC434" s="783"/>
    </row>
    <row r="435" spans="133:133" hidden="1">
      <c r="EC435" s="783"/>
    </row>
    <row r="436" spans="133:133" hidden="1">
      <c r="EC436" s="783"/>
    </row>
    <row r="437" spans="133:133" hidden="1">
      <c r="EC437" s="783"/>
    </row>
    <row r="438" spans="133:133" hidden="1">
      <c r="EC438" s="783"/>
    </row>
    <row r="439" spans="133:133" hidden="1">
      <c r="EC439" s="783"/>
    </row>
    <row r="440" spans="133:133" hidden="1">
      <c r="EC440" s="783"/>
    </row>
    <row r="441" spans="133:133" hidden="1">
      <c r="EC441" s="783"/>
    </row>
    <row r="442" spans="133:133" hidden="1">
      <c r="EC442" s="783"/>
    </row>
    <row r="443" spans="133:133" hidden="1">
      <c r="EC443" s="783"/>
    </row>
    <row r="444" spans="133:133" hidden="1">
      <c r="EC444" s="783"/>
    </row>
    <row r="445" spans="133:133" hidden="1">
      <c r="EC445" s="783"/>
    </row>
    <row r="446" spans="133:133" hidden="1">
      <c r="EC446" s="783"/>
    </row>
    <row r="447" spans="133:133" hidden="1">
      <c r="EC447" s="783"/>
    </row>
    <row r="448" spans="133:133" hidden="1">
      <c r="EC448" s="783"/>
    </row>
    <row r="449" spans="133:133" hidden="1">
      <c r="EC449" s="783"/>
    </row>
    <row r="450" spans="133:133" hidden="1">
      <c r="EC450" s="783"/>
    </row>
    <row r="451" spans="133:133" hidden="1">
      <c r="EC451" s="783"/>
    </row>
    <row r="452" spans="133:133" hidden="1">
      <c r="EC452" s="783"/>
    </row>
    <row r="453" spans="133:133" hidden="1">
      <c r="EC453" s="783"/>
    </row>
    <row r="454" spans="133:133" hidden="1">
      <c r="EC454" s="783"/>
    </row>
    <row r="455" spans="133:133" hidden="1">
      <c r="EC455" s="783"/>
    </row>
    <row r="456" spans="133:133" hidden="1">
      <c r="EC456" s="783"/>
    </row>
    <row r="457" spans="133:133" hidden="1">
      <c r="EC457" s="783"/>
    </row>
    <row r="458" spans="133:133" hidden="1">
      <c r="EC458" s="783"/>
    </row>
    <row r="459" spans="133:133" hidden="1">
      <c r="EC459" s="783"/>
    </row>
    <row r="460" spans="133:133" hidden="1">
      <c r="EC460" s="783"/>
    </row>
    <row r="461" spans="133:133" hidden="1">
      <c r="EC461" s="783"/>
    </row>
    <row r="462" spans="133:133" hidden="1">
      <c r="EC462" s="783"/>
    </row>
    <row r="463" spans="133:133" hidden="1">
      <c r="EC463" s="783"/>
    </row>
    <row r="464" spans="133:133" hidden="1">
      <c r="EC464" s="783"/>
    </row>
    <row r="465" spans="133:133" hidden="1">
      <c r="EC465" s="783"/>
    </row>
    <row r="466" spans="133:133" hidden="1">
      <c r="EC466" s="783"/>
    </row>
    <row r="467" spans="133:133" hidden="1">
      <c r="EC467" s="783"/>
    </row>
    <row r="468" spans="133:133" hidden="1">
      <c r="EC468" s="783"/>
    </row>
    <row r="469" spans="133:133" hidden="1">
      <c r="EC469" s="783"/>
    </row>
    <row r="470" spans="133:133" hidden="1">
      <c r="EC470" s="783"/>
    </row>
    <row r="471" spans="133:133" hidden="1">
      <c r="EC471" s="783"/>
    </row>
    <row r="472" spans="133:133" hidden="1">
      <c r="EC472" s="783"/>
    </row>
    <row r="473" spans="133:133" hidden="1">
      <c r="EC473" s="783"/>
    </row>
    <row r="474" spans="133:133" hidden="1">
      <c r="EC474" s="783"/>
    </row>
    <row r="475" spans="133:133" hidden="1">
      <c r="EC475" s="783"/>
    </row>
    <row r="476" spans="133:133" hidden="1">
      <c r="EC476" s="783"/>
    </row>
    <row r="477" spans="133:133" hidden="1">
      <c r="EC477" s="783"/>
    </row>
    <row r="478" spans="133:133" hidden="1">
      <c r="EC478" s="783"/>
    </row>
    <row r="479" spans="133:133" hidden="1">
      <c r="EC479" s="783"/>
    </row>
    <row r="480" spans="133:133" hidden="1">
      <c r="EC480" s="783"/>
    </row>
    <row r="481" spans="133:133" hidden="1">
      <c r="EC481" s="783"/>
    </row>
    <row r="482" spans="133:133" hidden="1">
      <c r="EC482" s="783"/>
    </row>
    <row r="483" spans="133:133" hidden="1">
      <c r="EC483" s="783"/>
    </row>
    <row r="484" spans="133:133" hidden="1">
      <c r="EC484" s="783"/>
    </row>
    <row r="485" spans="133:133" hidden="1">
      <c r="EC485" s="783"/>
    </row>
    <row r="486" spans="133:133" hidden="1">
      <c r="EC486" s="783"/>
    </row>
    <row r="487" spans="133:133" hidden="1">
      <c r="EC487" s="783"/>
    </row>
    <row r="488" spans="133:133" hidden="1">
      <c r="EC488" s="783"/>
    </row>
    <row r="489" spans="133:133" hidden="1">
      <c r="EC489" s="783"/>
    </row>
    <row r="490" spans="133:133" hidden="1">
      <c r="EC490" s="783"/>
    </row>
    <row r="491" spans="133:133" hidden="1">
      <c r="EC491" s="783"/>
    </row>
    <row r="492" spans="133:133" hidden="1">
      <c r="EC492" s="783"/>
    </row>
    <row r="493" spans="133:133" hidden="1">
      <c r="EC493" s="783"/>
    </row>
    <row r="494" spans="133:133" hidden="1">
      <c r="EC494" s="783"/>
    </row>
    <row r="495" spans="133:133" hidden="1">
      <c r="EC495" s="783"/>
    </row>
    <row r="496" spans="133:133" hidden="1">
      <c r="EC496" s="783"/>
    </row>
    <row r="497" spans="133:133" hidden="1">
      <c r="EC497" s="783"/>
    </row>
    <row r="498" spans="133:133" hidden="1">
      <c r="EC498" s="783"/>
    </row>
    <row r="499" spans="133:133" hidden="1">
      <c r="EC499" s="783"/>
    </row>
    <row r="500" spans="133:133" hidden="1">
      <c r="EC500" s="783"/>
    </row>
    <row r="501" spans="133:133" hidden="1">
      <c r="EC501" s="783"/>
    </row>
    <row r="502" spans="133:133" hidden="1">
      <c r="EC502" s="783"/>
    </row>
    <row r="503" spans="133:133" hidden="1">
      <c r="EC503" s="783"/>
    </row>
    <row r="504" spans="133:133" hidden="1">
      <c r="EC504" s="783"/>
    </row>
    <row r="505" spans="133:133" hidden="1">
      <c r="EC505" s="783"/>
    </row>
    <row r="506" spans="133:133" hidden="1">
      <c r="EC506" s="783"/>
    </row>
    <row r="507" spans="133:133" hidden="1">
      <c r="EC507" s="783"/>
    </row>
    <row r="508" spans="133:133" hidden="1">
      <c r="EC508" s="783"/>
    </row>
    <row r="509" spans="133:133" hidden="1">
      <c r="EC509" s="783"/>
    </row>
    <row r="510" spans="133:133" hidden="1">
      <c r="EC510" s="783"/>
    </row>
    <row r="511" spans="133:133" hidden="1">
      <c r="EC511" s="783"/>
    </row>
    <row r="512" spans="133:133" hidden="1">
      <c r="EC512" s="783"/>
    </row>
    <row r="513" spans="133:133" hidden="1">
      <c r="EC513" s="783"/>
    </row>
    <row r="514" spans="133:133" hidden="1">
      <c r="EC514" s="783"/>
    </row>
    <row r="515" spans="133:133" hidden="1">
      <c r="EC515" s="783"/>
    </row>
    <row r="516" spans="133:133" hidden="1">
      <c r="EC516" s="783"/>
    </row>
    <row r="517" spans="133:133" hidden="1">
      <c r="EC517" s="783"/>
    </row>
    <row r="518" spans="133:133" hidden="1">
      <c r="EC518" s="783"/>
    </row>
    <row r="519" spans="133:133" hidden="1">
      <c r="EC519" s="783"/>
    </row>
    <row r="520" spans="133:133" hidden="1">
      <c r="EC520" s="783"/>
    </row>
    <row r="521" spans="133:133" hidden="1">
      <c r="EC521" s="783"/>
    </row>
    <row r="522" spans="133:133" hidden="1">
      <c r="EC522" s="783"/>
    </row>
    <row r="523" spans="133:133" hidden="1">
      <c r="EC523" s="783"/>
    </row>
    <row r="524" spans="133:133" hidden="1">
      <c r="EC524" s="783"/>
    </row>
    <row r="525" spans="133:133" hidden="1">
      <c r="EC525" s="783"/>
    </row>
    <row r="526" spans="133:133" hidden="1">
      <c r="EC526" s="783"/>
    </row>
    <row r="527" spans="133:133" hidden="1">
      <c r="EC527" s="783"/>
    </row>
    <row r="528" spans="133:133" hidden="1">
      <c r="EC528" s="783"/>
    </row>
    <row r="529" spans="133:133" hidden="1">
      <c r="EC529" s="783"/>
    </row>
    <row r="530" spans="133:133" hidden="1">
      <c r="EC530" s="783"/>
    </row>
    <row r="531" spans="133:133" hidden="1">
      <c r="EC531" s="783"/>
    </row>
    <row r="532" spans="133:133" hidden="1">
      <c r="EC532" s="783"/>
    </row>
    <row r="533" spans="133:133" hidden="1">
      <c r="EC533" s="783"/>
    </row>
    <row r="534" spans="133:133" hidden="1">
      <c r="EC534" s="783"/>
    </row>
    <row r="535" spans="133:133" hidden="1">
      <c r="EC535" s="783"/>
    </row>
    <row r="536" spans="133:133" hidden="1">
      <c r="EC536" s="783"/>
    </row>
    <row r="537" spans="133:133" hidden="1">
      <c r="EC537" s="783"/>
    </row>
    <row r="538" spans="133:133" hidden="1">
      <c r="EC538" s="783"/>
    </row>
    <row r="539" spans="133:133" hidden="1">
      <c r="EC539" s="783"/>
    </row>
    <row r="540" spans="133:133" hidden="1">
      <c r="EC540" s="783"/>
    </row>
    <row r="541" spans="133:133" hidden="1">
      <c r="EC541" s="783"/>
    </row>
    <row r="542" spans="133:133" hidden="1">
      <c r="EC542" s="783"/>
    </row>
    <row r="543" spans="133:133" hidden="1">
      <c r="EC543" s="783"/>
    </row>
    <row r="544" spans="133:133" hidden="1">
      <c r="EC544" s="783"/>
    </row>
    <row r="545" spans="133:133" hidden="1">
      <c r="EC545" s="783"/>
    </row>
    <row r="546" spans="133:133" hidden="1">
      <c r="EC546" s="783"/>
    </row>
    <row r="547" spans="133:133" hidden="1">
      <c r="EC547" s="783"/>
    </row>
    <row r="548" spans="133:133" hidden="1">
      <c r="EC548" s="783"/>
    </row>
    <row r="549" spans="133:133" hidden="1">
      <c r="EC549" s="783"/>
    </row>
    <row r="550" spans="133:133" hidden="1">
      <c r="EC550" s="783"/>
    </row>
    <row r="551" spans="133:133" hidden="1">
      <c r="EC551" s="783"/>
    </row>
    <row r="552" spans="133:133" hidden="1">
      <c r="EC552" s="783"/>
    </row>
    <row r="553" spans="133:133" hidden="1">
      <c r="EC553" s="783"/>
    </row>
    <row r="554" spans="133:133" hidden="1">
      <c r="EC554" s="783"/>
    </row>
    <row r="555" spans="133:133" hidden="1">
      <c r="EC555" s="783"/>
    </row>
    <row r="556" spans="133:133" hidden="1">
      <c r="EC556" s="783"/>
    </row>
    <row r="557" spans="133:133" hidden="1">
      <c r="EC557" s="783"/>
    </row>
    <row r="558" spans="133:133" hidden="1">
      <c r="EC558" s="783"/>
    </row>
    <row r="559" spans="133:133" hidden="1">
      <c r="EC559" s="783"/>
    </row>
    <row r="560" spans="133:133" hidden="1">
      <c r="EC560" s="783"/>
    </row>
    <row r="561" spans="133:133" hidden="1">
      <c r="EC561" s="783"/>
    </row>
    <row r="562" spans="133:133" hidden="1">
      <c r="EC562" s="783"/>
    </row>
    <row r="563" spans="133:133" hidden="1">
      <c r="EC563" s="783"/>
    </row>
    <row r="564" spans="133:133" hidden="1">
      <c r="EC564" s="783"/>
    </row>
    <row r="565" spans="133:133" hidden="1">
      <c r="EC565" s="783"/>
    </row>
    <row r="566" spans="133:133" hidden="1">
      <c r="EC566" s="783"/>
    </row>
    <row r="567" spans="133:133" hidden="1">
      <c r="EC567" s="783"/>
    </row>
    <row r="568" spans="133:133" hidden="1">
      <c r="EC568" s="783"/>
    </row>
    <row r="569" spans="133:133" hidden="1">
      <c r="EC569" s="783"/>
    </row>
    <row r="570" spans="133:133" hidden="1">
      <c r="EC570" s="783"/>
    </row>
    <row r="571" spans="133:133" hidden="1">
      <c r="EC571" s="783"/>
    </row>
    <row r="572" spans="133:133" hidden="1">
      <c r="EC572" s="783"/>
    </row>
    <row r="573" spans="133:133" hidden="1">
      <c r="EC573" s="783"/>
    </row>
    <row r="574" spans="133:133" hidden="1">
      <c r="EC574" s="783"/>
    </row>
    <row r="575" spans="133:133" hidden="1">
      <c r="EC575" s="783"/>
    </row>
    <row r="576" spans="133:133" hidden="1">
      <c r="EC576" s="783"/>
    </row>
    <row r="577" spans="133:133" hidden="1">
      <c r="EC577" s="783"/>
    </row>
    <row r="578" spans="133:133" hidden="1">
      <c r="EC578" s="783"/>
    </row>
    <row r="579" spans="133:133" hidden="1">
      <c r="EC579" s="783"/>
    </row>
    <row r="580" spans="133:133" hidden="1">
      <c r="EC580" s="783"/>
    </row>
    <row r="581" spans="133:133" hidden="1">
      <c r="EC581" s="783"/>
    </row>
    <row r="582" spans="133:133" hidden="1">
      <c r="EC582" s="783"/>
    </row>
    <row r="583" spans="133:133" hidden="1">
      <c r="EC583" s="783"/>
    </row>
    <row r="584" spans="133:133" hidden="1">
      <c r="EC584" s="783"/>
    </row>
    <row r="585" spans="133:133" hidden="1">
      <c r="EC585" s="783"/>
    </row>
    <row r="586" spans="133:133" hidden="1">
      <c r="EC586" s="783"/>
    </row>
    <row r="587" spans="133:133" hidden="1">
      <c r="EC587" s="783"/>
    </row>
    <row r="588" spans="133:133" hidden="1">
      <c r="EC588" s="783"/>
    </row>
    <row r="589" spans="133:133" hidden="1">
      <c r="EC589" s="783"/>
    </row>
    <row r="590" spans="133:133" hidden="1">
      <c r="EC590" s="783"/>
    </row>
    <row r="591" spans="133:133" hidden="1">
      <c r="EC591" s="783"/>
    </row>
    <row r="592" spans="133:133" hidden="1">
      <c r="EC592" s="783"/>
    </row>
    <row r="593" spans="133:133" hidden="1">
      <c r="EC593" s="783"/>
    </row>
    <row r="594" spans="133:133" hidden="1">
      <c r="EC594" s="783"/>
    </row>
    <row r="595" spans="133:133" hidden="1">
      <c r="EC595" s="783"/>
    </row>
    <row r="596" spans="133:133" hidden="1">
      <c r="EC596" s="783"/>
    </row>
    <row r="597" spans="133:133" hidden="1">
      <c r="EC597" s="783"/>
    </row>
    <row r="598" spans="133:133" hidden="1">
      <c r="EC598" s="783"/>
    </row>
    <row r="599" spans="133:133" hidden="1">
      <c r="EC599" s="783"/>
    </row>
    <row r="600" spans="133:133" hidden="1">
      <c r="EC600" s="783"/>
    </row>
    <row r="601" spans="133:133" hidden="1">
      <c r="EC601" s="783"/>
    </row>
    <row r="602" spans="133:133" hidden="1">
      <c r="EC602" s="783"/>
    </row>
    <row r="603" spans="133:133" hidden="1">
      <c r="EC603" s="783"/>
    </row>
    <row r="604" spans="133:133" hidden="1">
      <c r="EC604" s="783"/>
    </row>
    <row r="605" spans="133:133" hidden="1">
      <c r="EC605" s="783"/>
    </row>
    <row r="606" spans="133:133" hidden="1">
      <c r="EC606" s="783"/>
    </row>
    <row r="607" spans="133:133" hidden="1">
      <c r="EC607" s="783"/>
    </row>
    <row r="608" spans="133:133" hidden="1">
      <c r="EC608" s="783"/>
    </row>
    <row r="609" spans="133:133" hidden="1">
      <c r="EC609" s="783"/>
    </row>
    <row r="610" spans="133:133" hidden="1">
      <c r="EC610" s="783"/>
    </row>
    <row r="611" spans="133:133" hidden="1">
      <c r="EC611" s="783"/>
    </row>
    <row r="612" spans="133:133" hidden="1">
      <c r="EC612" s="783"/>
    </row>
    <row r="613" spans="133:133" hidden="1">
      <c r="EC613" s="783"/>
    </row>
    <row r="614" spans="133:133" hidden="1">
      <c r="EC614" s="783"/>
    </row>
    <row r="615" spans="133:133" hidden="1">
      <c r="EC615" s="783"/>
    </row>
    <row r="616" spans="133:133" hidden="1">
      <c r="EC616" s="783"/>
    </row>
    <row r="617" spans="133:133" hidden="1">
      <c r="EC617" s="783"/>
    </row>
    <row r="618" spans="133:133" hidden="1">
      <c r="EC618" s="783"/>
    </row>
    <row r="619" spans="133:133" hidden="1">
      <c r="EC619" s="783"/>
    </row>
    <row r="620" spans="133:133" hidden="1">
      <c r="EC620" s="783"/>
    </row>
    <row r="621" spans="133:133" hidden="1">
      <c r="EC621" s="783"/>
    </row>
    <row r="622" spans="133:133" hidden="1">
      <c r="EC622" s="783"/>
    </row>
    <row r="623" spans="133:133" hidden="1">
      <c r="EC623" s="783"/>
    </row>
    <row r="624" spans="133:133" hidden="1">
      <c r="EC624" s="783"/>
    </row>
    <row r="625" spans="133:133" hidden="1">
      <c r="EC625" s="783"/>
    </row>
    <row r="626" spans="133:133" hidden="1">
      <c r="EC626" s="783"/>
    </row>
    <row r="627" spans="133:133" hidden="1">
      <c r="EC627" s="783"/>
    </row>
    <row r="628" spans="133:133" hidden="1">
      <c r="EC628" s="783"/>
    </row>
    <row r="629" spans="133:133" hidden="1">
      <c r="EC629" s="783"/>
    </row>
    <row r="630" spans="133:133" hidden="1">
      <c r="EC630" s="783"/>
    </row>
    <row r="631" spans="133:133" hidden="1">
      <c r="EC631" s="783"/>
    </row>
    <row r="632" spans="133:133" hidden="1">
      <c r="EC632" s="783"/>
    </row>
    <row r="633" spans="133:133" hidden="1">
      <c r="EC633" s="783"/>
    </row>
    <row r="634" spans="133:133" hidden="1">
      <c r="EC634" s="783"/>
    </row>
    <row r="635" spans="133:133" hidden="1">
      <c r="EC635" s="783"/>
    </row>
    <row r="636" spans="133:133" hidden="1">
      <c r="EC636" s="783"/>
    </row>
    <row r="637" spans="133:133" hidden="1">
      <c r="EC637" s="783"/>
    </row>
    <row r="638" spans="133:133" hidden="1">
      <c r="EC638" s="783"/>
    </row>
    <row r="639" spans="133:133" hidden="1">
      <c r="EC639" s="783"/>
    </row>
    <row r="640" spans="133:133" hidden="1">
      <c r="EC640" s="783"/>
    </row>
    <row r="641" spans="133:133" hidden="1">
      <c r="EC641" s="783"/>
    </row>
    <row r="642" spans="133:133" hidden="1">
      <c r="EC642" s="783"/>
    </row>
    <row r="643" spans="133:133" hidden="1">
      <c r="EC643" s="783"/>
    </row>
    <row r="644" spans="133:133" hidden="1">
      <c r="EC644" s="783"/>
    </row>
    <row r="645" spans="133:133" hidden="1">
      <c r="EC645" s="783"/>
    </row>
    <row r="646" spans="133:133" hidden="1">
      <c r="EC646" s="783"/>
    </row>
    <row r="647" spans="133:133" hidden="1">
      <c r="EC647" s="783"/>
    </row>
    <row r="648" spans="133:133" hidden="1">
      <c r="EC648" s="783"/>
    </row>
    <row r="649" spans="133:133" hidden="1">
      <c r="EC649" s="783"/>
    </row>
    <row r="650" spans="133:133" hidden="1">
      <c r="EC650" s="783"/>
    </row>
    <row r="651" spans="133:133" hidden="1">
      <c r="EC651" s="783"/>
    </row>
    <row r="652" spans="133:133" hidden="1">
      <c r="EC652" s="783"/>
    </row>
    <row r="653" spans="133:133" hidden="1">
      <c r="EC653" s="783"/>
    </row>
    <row r="654" spans="133:133" hidden="1">
      <c r="EC654" s="783"/>
    </row>
    <row r="655" spans="133:133" hidden="1">
      <c r="EC655" s="783"/>
    </row>
    <row r="656" spans="133:133" hidden="1">
      <c r="EC656" s="783"/>
    </row>
    <row r="657" spans="133:133" hidden="1">
      <c r="EC657" s="783"/>
    </row>
    <row r="658" spans="133:133" hidden="1">
      <c r="EC658" s="783"/>
    </row>
    <row r="659" spans="133:133" hidden="1">
      <c r="EC659" s="783"/>
    </row>
    <row r="660" spans="133:133" hidden="1">
      <c r="EC660" s="783"/>
    </row>
    <row r="661" spans="133:133" hidden="1">
      <c r="EC661" s="783"/>
    </row>
    <row r="662" spans="133:133" hidden="1">
      <c r="EC662" s="783"/>
    </row>
    <row r="663" spans="133:133" hidden="1">
      <c r="EC663" s="783"/>
    </row>
    <row r="664" spans="133:133" hidden="1">
      <c r="EC664" s="783"/>
    </row>
    <row r="665" spans="133:133" hidden="1">
      <c r="EC665" s="783"/>
    </row>
    <row r="666" spans="133:133" hidden="1">
      <c r="EC666" s="783"/>
    </row>
    <row r="667" spans="133:133" hidden="1">
      <c r="EC667" s="783"/>
    </row>
    <row r="668" spans="133:133" hidden="1">
      <c r="EC668" s="783"/>
    </row>
    <row r="669" spans="133:133" hidden="1">
      <c r="EC669" s="783"/>
    </row>
    <row r="670" spans="133:133" hidden="1">
      <c r="EC670" s="783"/>
    </row>
    <row r="671" spans="133:133" hidden="1">
      <c r="EC671" s="783"/>
    </row>
    <row r="672" spans="133:133" hidden="1">
      <c r="EC672" s="783"/>
    </row>
    <row r="673" spans="133:133" hidden="1">
      <c r="EC673" s="783"/>
    </row>
    <row r="674" spans="133:133" hidden="1">
      <c r="EC674" s="783"/>
    </row>
    <row r="675" spans="133:133" hidden="1">
      <c r="EC675" s="783"/>
    </row>
    <row r="676" spans="133:133" hidden="1">
      <c r="EC676" s="783"/>
    </row>
    <row r="677" spans="133:133" hidden="1">
      <c r="EC677" s="783"/>
    </row>
    <row r="678" spans="133:133" hidden="1">
      <c r="EC678" s="783"/>
    </row>
    <row r="679" spans="133:133" hidden="1">
      <c r="EC679" s="783"/>
    </row>
    <row r="680" spans="133:133" hidden="1">
      <c r="EC680" s="783"/>
    </row>
    <row r="681" spans="133:133" hidden="1">
      <c r="EC681" s="783"/>
    </row>
    <row r="682" spans="133:133" hidden="1">
      <c r="EC682" s="783"/>
    </row>
    <row r="683" spans="133:133" hidden="1">
      <c r="EC683" s="783"/>
    </row>
    <row r="684" spans="133:133" hidden="1">
      <c r="EC684" s="783"/>
    </row>
    <row r="685" spans="133:133" hidden="1">
      <c r="EC685" s="783"/>
    </row>
    <row r="686" spans="133:133" hidden="1">
      <c r="EC686" s="783"/>
    </row>
    <row r="687" spans="133:133" hidden="1">
      <c r="EC687" s="783"/>
    </row>
    <row r="688" spans="133:133" hidden="1">
      <c r="EC688" s="783"/>
    </row>
    <row r="689" spans="133:133" hidden="1">
      <c r="EC689" s="783"/>
    </row>
    <row r="690" spans="133:133" hidden="1">
      <c r="EC690" s="783"/>
    </row>
    <row r="691" spans="133:133" hidden="1">
      <c r="EC691" s="783"/>
    </row>
    <row r="692" spans="133:133" hidden="1">
      <c r="EC692" s="783"/>
    </row>
    <row r="693" spans="133:133" hidden="1">
      <c r="EC693" s="783"/>
    </row>
    <row r="694" spans="133:133" hidden="1">
      <c r="EC694" s="783"/>
    </row>
    <row r="695" spans="133:133" hidden="1">
      <c r="EC695" s="783"/>
    </row>
    <row r="696" spans="133:133" hidden="1">
      <c r="EC696" s="783"/>
    </row>
    <row r="697" spans="133:133" hidden="1">
      <c r="EC697" s="783"/>
    </row>
    <row r="698" spans="133:133" hidden="1">
      <c r="EC698" s="783"/>
    </row>
    <row r="699" spans="133:133" hidden="1">
      <c r="EC699" s="783"/>
    </row>
    <row r="700" spans="133:133" hidden="1">
      <c r="EC700" s="783"/>
    </row>
    <row r="701" spans="133:133" hidden="1">
      <c r="EC701" s="783"/>
    </row>
    <row r="702" spans="133:133" hidden="1">
      <c r="EC702" s="783"/>
    </row>
    <row r="703" spans="133:133" hidden="1">
      <c r="EC703" s="783"/>
    </row>
    <row r="704" spans="133:133" hidden="1">
      <c r="EC704" s="783"/>
    </row>
    <row r="705" spans="133:133" hidden="1">
      <c r="EC705" s="783"/>
    </row>
    <row r="706" spans="133:133" hidden="1">
      <c r="EC706" s="783"/>
    </row>
    <row r="707" spans="133:133" hidden="1">
      <c r="EC707" s="783"/>
    </row>
    <row r="708" spans="133:133" hidden="1">
      <c r="EC708" s="783"/>
    </row>
    <row r="709" spans="133:133" hidden="1">
      <c r="EC709" s="783"/>
    </row>
    <row r="710" spans="133:133" hidden="1">
      <c r="EC710" s="783"/>
    </row>
    <row r="711" spans="133:133" hidden="1">
      <c r="EC711" s="783"/>
    </row>
    <row r="712" spans="133:133" hidden="1">
      <c r="EC712" s="783"/>
    </row>
    <row r="713" spans="133:133" hidden="1">
      <c r="EC713" s="783"/>
    </row>
    <row r="714" spans="133:133" hidden="1">
      <c r="EC714" s="783"/>
    </row>
    <row r="715" spans="133:133" hidden="1">
      <c r="EC715" s="783"/>
    </row>
    <row r="716" spans="133:133" hidden="1">
      <c r="EC716" s="783"/>
    </row>
    <row r="717" spans="133:133" hidden="1">
      <c r="EC717" s="783"/>
    </row>
    <row r="718" spans="133:133" hidden="1">
      <c r="EC718" s="783"/>
    </row>
    <row r="719" spans="133:133" hidden="1">
      <c r="EC719" s="783"/>
    </row>
    <row r="720" spans="133:133" hidden="1">
      <c r="EC720" s="783"/>
    </row>
    <row r="721" spans="133:133" hidden="1">
      <c r="EC721" s="783"/>
    </row>
    <row r="722" spans="133:133" hidden="1">
      <c r="EC722" s="783"/>
    </row>
    <row r="723" spans="133:133" hidden="1">
      <c r="EC723" s="783"/>
    </row>
    <row r="724" spans="133:133" hidden="1">
      <c r="EC724" s="783"/>
    </row>
    <row r="725" spans="133:133" hidden="1">
      <c r="EC725" s="783"/>
    </row>
    <row r="726" spans="133:133" hidden="1">
      <c r="EC726" s="783"/>
    </row>
    <row r="727" spans="133:133" hidden="1">
      <c r="EC727" s="783"/>
    </row>
    <row r="728" spans="133:133" hidden="1">
      <c r="EC728" s="783"/>
    </row>
    <row r="729" spans="133:133" hidden="1">
      <c r="EC729" s="783"/>
    </row>
    <row r="730" spans="133:133" hidden="1">
      <c r="EC730" s="783"/>
    </row>
    <row r="731" spans="133:133" hidden="1">
      <c r="EC731" s="783"/>
    </row>
    <row r="732" spans="133:133" hidden="1">
      <c r="EC732" s="783"/>
    </row>
    <row r="733" spans="133:133" hidden="1">
      <c r="EC733" s="783"/>
    </row>
    <row r="734" spans="133:133" hidden="1">
      <c r="EC734" s="783"/>
    </row>
    <row r="735" spans="133:133" hidden="1">
      <c r="EC735" s="783"/>
    </row>
    <row r="736" spans="133:133" hidden="1">
      <c r="EC736" s="783"/>
    </row>
    <row r="737" spans="133:133" hidden="1">
      <c r="EC737" s="783"/>
    </row>
    <row r="738" spans="133:133" hidden="1">
      <c r="EC738" s="783"/>
    </row>
    <row r="739" spans="133:133" hidden="1">
      <c r="EC739" s="783"/>
    </row>
    <row r="740" spans="133:133" hidden="1">
      <c r="EC740" s="783"/>
    </row>
    <row r="741" spans="133:133" hidden="1">
      <c r="EC741" s="783"/>
    </row>
    <row r="742" spans="133:133" hidden="1">
      <c r="EC742" s="783"/>
    </row>
    <row r="743" spans="133:133" hidden="1">
      <c r="EC743" s="783"/>
    </row>
    <row r="744" spans="133:133" hidden="1">
      <c r="EC744" s="783"/>
    </row>
    <row r="745" spans="133:133" hidden="1">
      <c r="EC745" s="783"/>
    </row>
    <row r="746" spans="133:133" hidden="1">
      <c r="EC746" s="783"/>
    </row>
    <row r="747" spans="133:133" hidden="1">
      <c r="EC747" s="783"/>
    </row>
    <row r="748" spans="133:133" hidden="1">
      <c r="EC748" s="783"/>
    </row>
    <row r="749" spans="133:133" hidden="1">
      <c r="EC749" s="783"/>
    </row>
    <row r="750" spans="133:133" hidden="1">
      <c r="EC750" s="783"/>
    </row>
    <row r="751" spans="133:133" hidden="1">
      <c r="EC751" s="783"/>
    </row>
    <row r="752" spans="133:133" hidden="1">
      <c r="EC752" s="783"/>
    </row>
    <row r="753" spans="133:133" hidden="1">
      <c r="EC753" s="783"/>
    </row>
    <row r="754" spans="133:133" hidden="1">
      <c r="EC754" s="783"/>
    </row>
    <row r="755" spans="133:133" hidden="1">
      <c r="EC755" s="783"/>
    </row>
    <row r="756" spans="133:133" hidden="1">
      <c r="EC756" s="783"/>
    </row>
    <row r="757" spans="133:133" hidden="1">
      <c r="EC757" s="783"/>
    </row>
    <row r="758" spans="133:133" hidden="1">
      <c r="EC758" s="783"/>
    </row>
    <row r="759" spans="133:133" hidden="1">
      <c r="EC759" s="783"/>
    </row>
    <row r="760" spans="133:133" hidden="1">
      <c r="EC760" s="783"/>
    </row>
    <row r="761" spans="133:133" hidden="1">
      <c r="EC761" s="783"/>
    </row>
    <row r="762" spans="133:133" hidden="1">
      <c r="EC762" s="783"/>
    </row>
    <row r="763" spans="133:133" hidden="1">
      <c r="EC763" s="783"/>
    </row>
    <row r="764" spans="133:133" hidden="1">
      <c r="EC764" s="783"/>
    </row>
    <row r="765" spans="133:133" hidden="1">
      <c r="EC765" s="783"/>
    </row>
    <row r="766" spans="133:133" hidden="1">
      <c r="EC766" s="783"/>
    </row>
    <row r="767" spans="133:133" hidden="1">
      <c r="EC767" s="783"/>
    </row>
    <row r="768" spans="133:133" hidden="1">
      <c r="EC768" s="783"/>
    </row>
    <row r="769" spans="133:133" hidden="1">
      <c r="EC769" s="783"/>
    </row>
    <row r="770" spans="133:133" hidden="1">
      <c r="EC770" s="783"/>
    </row>
    <row r="771" spans="133:133" hidden="1">
      <c r="EC771" s="783"/>
    </row>
    <row r="772" spans="133:133" hidden="1">
      <c r="EC772" s="783"/>
    </row>
    <row r="773" spans="133:133" hidden="1">
      <c r="EC773" s="783"/>
    </row>
    <row r="774" spans="133:133" hidden="1">
      <c r="EC774" s="783"/>
    </row>
    <row r="775" spans="133:133" hidden="1">
      <c r="EC775" s="783"/>
    </row>
    <row r="776" spans="133:133" hidden="1">
      <c r="EC776" s="783"/>
    </row>
    <row r="777" spans="133:133" hidden="1">
      <c r="EC777" s="783"/>
    </row>
    <row r="778" spans="133:133" hidden="1">
      <c r="EC778" s="783"/>
    </row>
    <row r="779" spans="133:133" hidden="1">
      <c r="EC779" s="783"/>
    </row>
    <row r="780" spans="133:133" hidden="1">
      <c r="EC780" s="783"/>
    </row>
    <row r="781" spans="133:133" hidden="1">
      <c r="EC781" s="783"/>
    </row>
    <row r="782" spans="133:133" hidden="1">
      <c r="EC782" s="783"/>
    </row>
    <row r="783" spans="133:133" hidden="1">
      <c r="EC783" s="783"/>
    </row>
    <row r="784" spans="133:133" hidden="1">
      <c r="EC784" s="783"/>
    </row>
    <row r="785" spans="133:133" hidden="1">
      <c r="EC785" s="783"/>
    </row>
    <row r="786" spans="133:133" hidden="1">
      <c r="EC786" s="783"/>
    </row>
    <row r="787" spans="133:133" hidden="1">
      <c r="EC787" s="783"/>
    </row>
    <row r="788" spans="133:133" hidden="1">
      <c r="EC788" s="783"/>
    </row>
    <row r="789" spans="133:133" hidden="1">
      <c r="EC789" s="783"/>
    </row>
    <row r="790" spans="133:133" hidden="1">
      <c r="EC790" s="783"/>
    </row>
    <row r="791" spans="133:133" hidden="1">
      <c r="EC791" s="783"/>
    </row>
    <row r="792" spans="133:133" hidden="1">
      <c r="EC792" s="783"/>
    </row>
    <row r="793" spans="133:133" hidden="1">
      <c r="EC793" s="783"/>
    </row>
    <row r="794" spans="133:133" hidden="1">
      <c r="EC794" s="783"/>
    </row>
    <row r="795" spans="133:133" hidden="1">
      <c r="EC795" s="783"/>
    </row>
    <row r="796" spans="133:133" hidden="1">
      <c r="EC796" s="783"/>
    </row>
    <row r="797" spans="133:133" hidden="1">
      <c r="EC797" s="783"/>
    </row>
    <row r="798" spans="133:133" hidden="1">
      <c r="EC798" s="783"/>
    </row>
    <row r="799" spans="133:133" hidden="1">
      <c r="EC799" s="783"/>
    </row>
    <row r="800" spans="133:133" hidden="1">
      <c r="EC800" s="783"/>
    </row>
    <row r="801" spans="133:133" hidden="1">
      <c r="EC801" s="783"/>
    </row>
    <row r="802" spans="133:133" hidden="1">
      <c r="EC802" s="783"/>
    </row>
    <row r="803" spans="133:133" hidden="1">
      <c r="EC803" s="783"/>
    </row>
    <row r="804" spans="133:133" hidden="1">
      <c r="EC804" s="783"/>
    </row>
    <row r="805" spans="133:133" hidden="1">
      <c r="EC805" s="783"/>
    </row>
    <row r="806" spans="133:133" hidden="1">
      <c r="EC806" s="783"/>
    </row>
    <row r="807" spans="133:133" hidden="1">
      <c r="EC807" s="783"/>
    </row>
    <row r="808" spans="133:133" hidden="1">
      <c r="EC808" s="783"/>
    </row>
    <row r="809" spans="133:133" hidden="1">
      <c r="EC809" s="783"/>
    </row>
    <row r="810" spans="133:133" hidden="1">
      <c r="EC810" s="783"/>
    </row>
    <row r="811" spans="133:133" hidden="1">
      <c r="EC811" s="783"/>
    </row>
    <row r="812" spans="133:133" hidden="1">
      <c r="EC812" s="783"/>
    </row>
    <row r="813" spans="133:133" hidden="1">
      <c r="EC813" s="783"/>
    </row>
    <row r="814" spans="133:133" hidden="1">
      <c r="EC814" s="783"/>
    </row>
    <row r="815" spans="133:133" hidden="1">
      <c r="EC815" s="783"/>
    </row>
    <row r="816" spans="133:133" hidden="1">
      <c r="EC816" s="783"/>
    </row>
    <row r="817" spans="133:133" hidden="1">
      <c r="EC817" s="783"/>
    </row>
    <row r="818" spans="133:133" hidden="1">
      <c r="EC818" s="783"/>
    </row>
    <row r="819" spans="133:133" hidden="1">
      <c r="EC819" s="783"/>
    </row>
    <row r="820" spans="133:133" hidden="1">
      <c r="EC820" s="783"/>
    </row>
    <row r="821" spans="133:133" hidden="1">
      <c r="EC821" s="783"/>
    </row>
    <row r="822" spans="133:133" hidden="1">
      <c r="EC822" s="783"/>
    </row>
    <row r="823" spans="133:133" hidden="1">
      <c r="EC823" s="783"/>
    </row>
    <row r="824" spans="133:133" hidden="1">
      <c r="EC824" s="783"/>
    </row>
    <row r="825" spans="133:133" hidden="1">
      <c r="EC825" s="783"/>
    </row>
    <row r="826" spans="133:133" hidden="1">
      <c r="EC826" s="783"/>
    </row>
    <row r="827" spans="133:133" hidden="1">
      <c r="EC827" s="783"/>
    </row>
    <row r="828" spans="133:133" hidden="1">
      <c r="EC828" s="783"/>
    </row>
    <row r="829" spans="133:133" hidden="1">
      <c r="EC829" s="783"/>
    </row>
    <row r="830" spans="133:133" hidden="1">
      <c r="EC830" s="783"/>
    </row>
    <row r="831" spans="133:133" hidden="1">
      <c r="EC831" s="783"/>
    </row>
    <row r="832" spans="133:133" hidden="1">
      <c r="EC832" s="783"/>
    </row>
    <row r="833" spans="133:133" hidden="1">
      <c r="EC833" s="783"/>
    </row>
    <row r="834" spans="133:133" hidden="1">
      <c r="EC834" s="783"/>
    </row>
    <row r="835" spans="133:133" hidden="1">
      <c r="EC835" s="783"/>
    </row>
    <row r="836" spans="133:133" hidden="1">
      <c r="EC836" s="783"/>
    </row>
    <row r="837" spans="133:133" hidden="1">
      <c r="EC837" s="783"/>
    </row>
    <row r="838" spans="133:133" hidden="1">
      <c r="EC838" s="783"/>
    </row>
    <row r="839" spans="133:133" hidden="1">
      <c r="EC839" s="783"/>
    </row>
    <row r="840" spans="133:133" hidden="1">
      <c r="EC840" s="783"/>
    </row>
    <row r="841" spans="133:133" hidden="1">
      <c r="EC841" s="783"/>
    </row>
    <row r="842" spans="133:133" hidden="1">
      <c r="EC842" s="783"/>
    </row>
    <row r="843" spans="133:133" hidden="1">
      <c r="EC843" s="783"/>
    </row>
    <row r="844" spans="133:133" hidden="1">
      <c r="EC844" s="783"/>
    </row>
    <row r="845" spans="133:133" hidden="1">
      <c r="EC845" s="783"/>
    </row>
    <row r="846" spans="133:133" hidden="1">
      <c r="EC846" s="783"/>
    </row>
    <row r="847" spans="133:133" hidden="1">
      <c r="EC847" s="783"/>
    </row>
    <row r="848" spans="133:133" hidden="1">
      <c r="EC848" s="783"/>
    </row>
    <row r="849" spans="133:133" hidden="1">
      <c r="EC849" s="783"/>
    </row>
    <row r="850" spans="133:133" hidden="1">
      <c r="EC850" s="783"/>
    </row>
    <row r="851" spans="133:133" hidden="1">
      <c r="EC851" s="783"/>
    </row>
    <row r="852" spans="133:133" hidden="1">
      <c r="EC852" s="783"/>
    </row>
    <row r="853" spans="133:133" hidden="1">
      <c r="EC853" s="783"/>
    </row>
    <row r="854" spans="133:133" hidden="1">
      <c r="EC854" s="783"/>
    </row>
    <row r="855" spans="133:133" hidden="1">
      <c r="EC855" s="783"/>
    </row>
    <row r="856" spans="133:133" hidden="1">
      <c r="EC856" s="783"/>
    </row>
    <row r="857" spans="133:133" hidden="1">
      <c r="EC857" s="783"/>
    </row>
    <row r="858" spans="133:133" hidden="1">
      <c r="EC858" s="783"/>
    </row>
    <row r="859" spans="133:133" hidden="1">
      <c r="EC859" s="783"/>
    </row>
    <row r="860" spans="133:133" hidden="1">
      <c r="EC860" s="783"/>
    </row>
    <row r="861" spans="133:133" hidden="1">
      <c r="EC861" s="783"/>
    </row>
    <row r="862" spans="133:133" hidden="1">
      <c r="EC862" s="783"/>
    </row>
    <row r="863" spans="133:133" hidden="1">
      <c r="EC863" s="783"/>
    </row>
    <row r="864" spans="133:133" hidden="1">
      <c r="EC864" s="783"/>
    </row>
    <row r="865" spans="133:133" hidden="1">
      <c r="EC865" s="783"/>
    </row>
    <row r="866" spans="133:133" hidden="1">
      <c r="EC866" s="783"/>
    </row>
    <row r="867" spans="133:133" hidden="1">
      <c r="EC867" s="783"/>
    </row>
    <row r="868" spans="133:133" hidden="1">
      <c r="EC868" s="783"/>
    </row>
    <row r="869" spans="133:133" hidden="1">
      <c r="EC869" s="783"/>
    </row>
    <row r="870" spans="133:133" hidden="1">
      <c r="EC870" s="783"/>
    </row>
    <row r="871" spans="133:133" hidden="1">
      <c r="EC871" s="783"/>
    </row>
    <row r="872" spans="133:133" hidden="1">
      <c r="EC872" s="783"/>
    </row>
    <row r="873" spans="133:133" hidden="1">
      <c r="EC873" s="783"/>
    </row>
    <row r="874" spans="133:133" hidden="1">
      <c r="EC874" s="783"/>
    </row>
    <row r="875" spans="133:133" hidden="1">
      <c r="EC875" s="783"/>
    </row>
    <row r="876" spans="133:133" hidden="1">
      <c r="EC876" s="783"/>
    </row>
    <row r="877" spans="133:133" hidden="1">
      <c r="EC877" s="783"/>
    </row>
    <row r="878" spans="133:133" hidden="1">
      <c r="EC878" s="783"/>
    </row>
    <row r="879" spans="133:133" hidden="1">
      <c r="EC879" s="783"/>
    </row>
    <row r="880" spans="133:133" hidden="1">
      <c r="EC880" s="783"/>
    </row>
    <row r="881" spans="133:133" hidden="1">
      <c r="EC881" s="783"/>
    </row>
    <row r="882" spans="133:133" hidden="1">
      <c r="EC882" s="783"/>
    </row>
    <row r="883" spans="133:133" hidden="1">
      <c r="EC883" s="783"/>
    </row>
    <row r="884" spans="133:133" hidden="1">
      <c r="EC884" s="783"/>
    </row>
    <row r="885" spans="133:133" hidden="1">
      <c r="EC885" s="783"/>
    </row>
    <row r="886" spans="133:133" hidden="1">
      <c r="EC886" s="783"/>
    </row>
    <row r="887" spans="133:133" hidden="1">
      <c r="EC887" s="783"/>
    </row>
    <row r="888" spans="133:133" hidden="1">
      <c r="EC888" s="783"/>
    </row>
    <row r="889" spans="133:133" hidden="1">
      <c r="EC889" s="783"/>
    </row>
    <row r="890" spans="133:133" hidden="1">
      <c r="EC890" s="783"/>
    </row>
    <row r="891" spans="133:133" hidden="1">
      <c r="EC891" s="783"/>
    </row>
    <row r="892" spans="133:133" hidden="1">
      <c r="EC892" s="783"/>
    </row>
    <row r="893" spans="133:133" hidden="1">
      <c r="EC893" s="783"/>
    </row>
    <row r="894" spans="133:133" hidden="1">
      <c r="EC894" s="783"/>
    </row>
    <row r="895" spans="133:133" hidden="1">
      <c r="EC895" s="783"/>
    </row>
    <row r="896" spans="133:133" hidden="1">
      <c r="EC896" s="783"/>
    </row>
    <row r="897" spans="133:133" hidden="1">
      <c r="EC897" s="783"/>
    </row>
    <row r="898" spans="133:133" hidden="1">
      <c r="EC898" s="783"/>
    </row>
    <row r="899" spans="133:133" hidden="1">
      <c r="EC899" s="783"/>
    </row>
    <row r="900" spans="133:133" hidden="1">
      <c r="EC900" s="783"/>
    </row>
    <row r="901" spans="133:133" hidden="1">
      <c r="EC901" s="783"/>
    </row>
    <row r="902" spans="133:133" hidden="1">
      <c r="EC902" s="783"/>
    </row>
    <row r="903" spans="133:133" hidden="1">
      <c r="EC903" s="783"/>
    </row>
    <row r="904" spans="133:133" hidden="1">
      <c r="EC904" s="783"/>
    </row>
    <row r="905" spans="133:133" hidden="1">
      <c r="EC905" s="783"/>
    </row>
    <row r="906" spans="133:133" hidden="1">
      <c r="EC906" s="783"/>
    </row>
    <row r="907" spans="133:133" hidden="1">
      <c r="EC907" s="783"/>
    </row>
    <row r="908" spans="133:133" hidden="1">
      <c r="EC908" s="783"/>
    </row>
    <row r="909" spans="133:133" hidden="1">
      <c r="EC909" s="783"/>
    </row>
    <row r="910" spans="133:133" hidden="1">
      <c r="EC910" s="783"/>
    </row>
    <row r="911" spans="133:133" hidden="1">
      <c r="EC911" s="783"/>
    </row>
    <row r="912" spans="133:133" hidden="1">
      <c r="EC912" s="783"/>
    </row>
    <row r="913" spans="133:133" hidden="1">
      <c r="EC913" s="783"/>
    </row>
    <row r="914" spans="133:133" hidden="1">
      <c r="EC914" s="783"/>
    </row>
    <row r="915" spans="133:133" hidden="1">
      <c r="EC915" s="783"/>
    </row>
    <row r="916" spans="133:133" hidden="1">
      <c r="EC916" s="783"/>
    </row>
    <row r="917" spans="133:133" hidden="1">
      <c r="EC917" s="783"/>
    </row>
    <row r="918" spans="133:133" hidden="1">
      <c r="EC918" s="783"/>
    </row>
    <row r="919" spans="133:133" hidden="1">
      <c r="EC919" s="783"/>
    </row>
    <row r="920" spans="133:133" hidden="1">
      <c r="EC920" s="783"/>
    </row>
    <row r="921" spans="133:133" hidden="1">
      <c r="EC921" s="783"/>
    </row>
    <row r="922" spans="133:133" hidden="1">
      <c r="EC922" s="783"/>
    </row>
    <row r="923" spans="133:133" hidden="1">
      <c r="EC923" s="783"/>
    </row>
    <row r="924" spans="133:133" hidden="1">
      <c r="EC924" s="783"/>
    </row>
    <row r="925" spans="133:133" hidden="1">
      <c r="EC925" s="783"/>
    </row>
    <row r="926" spans="133:133" hidden="1">
      <c r="EC926" s="783"/>
    </row>
    <row r="927" spans="133:133" hidden="1">
      <c r="EC927" s="783"/>
    </row>
    <row r="928" spans="133:133" hidden="1">
      <c r="EC928" s="783"/>
    </row>
    <row r="929" spans="133:133" hidden="1">
      <c r="EC929" s="783"/>
    </row>
    <row r="930" spans="133:133" hidden="1">
      <c r="EC930" s="783"/>
    </row>
    <row r="931" spans="133:133" hidden="1">
      <c r="EC931" s="783"/>
    </row>
    <row r="932" spans="133:133" hidden="1">
      <c r="EC932" s="783"/>
    </row>
    <row r="933" spans="133:133" hidden="1">
      <c r="EC933" s="783"/>
    </row>
    <row r="934" spans="133:133" hidden="1">
      <c r="EC934" s="783"/>
    </row>
    <row r="935" spans="133:133" hidden="1">
      <c r="EC935" s="783"/>
    </row>
    <row r="936" spans="133:133" hidden="1">
      <c r="EC936" s="783"/>
    </row>
    <row r="937" spans="133:133" hidden="1">
      <c r="EC937" s="783"/>
    </row>
    <row r="938" spans="133:133" hidden="1">
      <c r="EC938" s="783"/>
    </row>
    <row r="939" spans="133:133" hidden="1">
      <c r="EC939" s="783"/>
    </row>
    <row r="940" spans="133:133" hidden="1">
      <c r="EC940" s="783"/>
    </row>
    <row r="941" spans="133:133" hidden="1">
      <c r="EC941" s="783"/>
    </row>
    <row r="942" spans="133:133" hidden="1">
      <c r="EC942" s="783"/>
    </row>
    <row r="943" spans="133:133" hidden="1">
      <c r="EC943" s="783"/>
    </row>
    <row r="944" spans="133:133" hidden="1">
      <c r="EC944" s="783"/>
    </row>
    <row r="945" spans="133:133" hidden="1">
      <c r="EC945" s="783"/>
    </row>
    <row r="946" spans="133:133" hidden="1">
      <c r="EC946" s="783"/>
    </row>
    <row r="947" spans="133:133" hidden="1">
      <c r="EC947" s="783"/>
    </row>
    <row r="948" spans="133:133" hidden="1">
      <c r="EC948" s="783"/>
    </row>
    <row r="949" spans="133:133" hidden="1">
      <c r="EC949" s="783"/>
    </row>
    <row r="950" spans="133:133" hidden="1">
      <c r="EC950" s="783"/>
    </row>
    <row r="951" spans="133:133" hidden="1">
      <c r="EC951" s="783"/>
    </row>
    <row r="952" spans="133:133" hidden="1">
      <c r="EC952" s="783"/>
    </row>
    <row r="953" spans="133:133" hidden="1">
      <c r="EC953" s="783"/>
    </row>
    <row r="954" spans="133:133" hidden="1">
      <c r="EC954" s="783"/>
    </row>
    <row r="955" spans="133:133" hidden="1">
      <c r="EC955" s="783"/>
    </row>
    <row r="956" spans="133:133" hidden="1">
      <c r="EC956" s="783"/>
    </row>
    <row r="957" spans="133:133" hidden="1">
      <c r="EC957" s="783"/>
    </row>
    <row r="958" spans="133:133" hidden="1">
      <c r="EC958" s="783"/>
    </row>
    <row r="959" spans="133:133" hidden="1">
      <c r="EC959" s="783"/>
    </row>
    <row r="960" spans="133:133" hidden="1">
      <c r="EC960" s="783"/>
    </row>
    <row r="961" spans="133:133" hidden="1">
      <c r="EC961" s="783"/>
    </row>
    <row r="962" spans="133:133" hidden="1">
      <c r="EC962" s="783"/>
    </row>
    <row r="963" spans="133:133" hidden="1">
      <c r="EC963" s="783"/>
    </row>
    <row r="964" spans="133:133" hidden="1">
      <c r="EC964" s="783"/>
    </row>
    <row r="965" spans="133:133" hidden="1">
      <c r="EC965" s="783"/>
    </row>
    <row r="966" spans="133:133" hidden="1">
      <c r="EC966" s="783"/>
    </row>
    <row r="967" spans="133:133" hidden="1">
      <c r="EC967" s="783"/>
    </row>
    <row r="968" spans="133:133" hidden="1">
      <c r="EC968" s="783"/>
    </row>
    <row r="969" spans="133:133" hidden="1">
      <c r="EC969" s="783"/>
    </row>
    <row r="970" spans="133:133" hidden="1">
      <c r="EC970" s="783"/>
    </row>
    <row r="971" spans="133:133" hidden="1">
      <c r="EC971" s="783"/>
    </row>
    <row r="972" spans="133:133" hidden="1">
      <c r="EC972" s="783"/>
    </row>
    <row r="973" spans="133:133" hidden="1">
      <c r="EC973" s="783"/>
    </row>
    <row r="974" spans="133:133" hidden="1">
      <c r="EC974" s="783"/>
    </row>
    <row r="975" spans="133:133" hidden="1">
      <c r="EC975" s="783"/>
    </row>
    <row r="976" spans="133:133" hidden="1">
      <c r="EC976" s="783"/>
    </row>
    <row r="977" spans="133:133" hidden="1">
      <c r="EC977" s="783"/>
    </row>
    <row r="978" spans="133:133" hidden="1">
      <c r="EC978" s="783"/>
    </row>
    <row r="979" spans="133:133" hidden="1">
      <c r="EC979" s="783"/>
    </row>
    <row r="980" spans="133:133" hidden="1">
      <c r="EC980" s="783"/>
    </row>
    <row r="981" spans="133:133" hidden="1">
      <c r="EC981" s="783"/>
    </row>
    <row r="982" spans="133:133" hidden="1">
      <c r="EC982" s="783"/>
    </row>
    <row r="983" spans="133:133" hidden="1">
      <c r="EC983" s="783"/>
    </row>
    <row r="984" spans="133:133" hidden="1">
      <c r="EC984" s="783"/>
    </row>
    <row r="985" spans="133:133" hidden="1">
      <c r="EC985" s="783"/>
    </row>
    <row r="986" spans="133:133" hidden="1">
      <c r="EC986" s="783"/>
    </row>
    <row r="987" spans="133:133" hidden="1">
      <c r="EC987" s="783"/>
    </row>
    <row r="988" spans="133:133" hidden="1">
      <c r="EC988" s="783"/>
    </row>
    <row r="989" spans="133:133" hidden="1">
      <c r="EC989" s="783"/>
    </row>
    <row r="990" spans="133:133" hidden="1">
      <c r="EC990" s="783"/>
    </row>
    <row r="991" spans="133:133" hidden="1">
      <c r="EC991" s="783"/>
    </row>
    <row r="992" spans="133:133" hidden="1">
      <c r="EC992" s="783"/>
    </row>
    <row r="993" spans="1:169" hidden="1">
      <c r="EC993" s="783"/>
    </row>
    <row r="994" spans="1:169" hidden="1">
      <c r="EC994" s="783"/>
    </row>
    <row r="995" spans="1:169" hidden="1">
      <c r="EC995" s="783"/>
    </row>
    <row r="996" spans="1:169" hidden="1">
      <c r="EC996" s="783"/>
    </row>
    <row r="997" spans="1:169">
      <c r="EC997" s="783"/>
    </row>
    <row r="998" spans="1:169" s="13" customFormat="1" ht="12.75" customHeight="1">
      <c r="A998" s="215"/>
      <c r="B998" s="370"/>
      <c r="C998" s="371"/>
      <c r="D998" s="372" cm="1">
        <f t="array" ref="D998">IF($CG998=0,0,INDEX(BOM!$N:$N,$CG998))</f>
        <v>0</v>
      </c>
      <c r="E998" s="627" t="s">
        <v>664</v>
      </c>
      <c r="F998" s="627" t="s">
        <v>664</v>
      </c>
      <c r="G998" s="627" t="s">
        <v>664</v>
      </c>
      <c r="H998" s="627" t="s">
        <v>664</v>
      </c>
      <c r="I998" s="627" t="s">
        <v>664</v>
      </c>
      <c r="J998" s="627" t="s">
        <v>664</v>
      </c>
      <c r="K998" s="627" t="s">
        <v>664</v>
      </c>
      <c r="L998" s="627" t="s">
        <v>664</v>
      </c>
      <c r="M998" s="627" t="s">
        <v>664</v>
      </c>
      <c r="N998" s="627" t="s">
        <v>664</v>
      </c>
      <c r="O998" s="627" t="s">
        <v>664</v>
      </c>
      <c r="P998" s="627" t="s">
        <v>664</v>
      </c>
      <c r="Q998" s="627" t="s">
        <v>664</v>
      </c>
      <c r="R998" s="627" t="s">
        <v>664</v>
      </c>
      <c r="S998" s="627" t="s">
        <v>664</v>
      </c>
      <c r="T998" s="627" t="s">
        <v>664</v>
      </c>
      <c r="U998" s="627" t="s">
        <v>664</v>
      </c>
      <c r="V998" s="627" t="s">
        <v>664</v>
      </c>
      <c r="W998" s="627" t="s">
        <v>664</v>
      </c>
      <c r="X998" s="627" t="s">
        <v>664</v>
      </c>
      <c r="Y998" s="627" t="s">
        <v>664</v>
      </c>
      <c r="Z998" s="627" t="s">
        <v>664</v>
      </c>
      <c r="AA998" s="627" t="s">
        <v>664</v>
      </c>
      <c r="AB998" s="627" t="s">
        <v>664</v>
      </c>
      <c r="AC998" s="627" t="s">
        <v>664</v>
      </c>
      <c r="AD998" s="627" t="s">
        <v>664</v>
      </c>
      <c r="AE998" s="627" t="s">
        <v>664</v>
      </c>
      <c r="AF998" s="627" t="s">
        <v>664</v>
      </c>
      <c r="AG998" s="627" t="s">
        <v>664</v>
      </c>
      <c r="AH998" s="627" t="s">
        <v>664</v>
      </c>
      <c r="AI998" s="627" t="s">
        <v>664</v>
      </c>
      <c r="AJ998" s="627" t="s">
        <v>664</v>
      </c>
      <c r="AK998" s="627" t="s">
        <v>664</v>
      </c>
      <c r="AL998" s="627" t="s">
        <v>664</v>
      </c>
      <c r="AM998" s="627" t="s">
        <v>664</v>
      </c>
      <c r="AN998" s="627" t="s">
        <v>664</v>
      </c>
      <c r="AO998" s="627" t="s">
        <v>664</v>
      </c>
      <c r="AP998" s="627" t="s">
        <v>664</v>
      </c>
      <c r="AQ998" s="627" t="s">
        <v>664</v>
      </c>
      <c r="AR998" s="627" t="s">
        <v>664</v>
      </c>
      <c r="AS998" s="627" t="s">
        <v>664</v>
      </c>
      <c r="AT998" s="627" t="s">
        <v>664</v>
      </c>
      <c r="AU998" s="627" t="s">
        <v>664</v>
      </c>
      <c r="AV998" s="627" t="s">
        <v>664</v>
      </c>
      <c r="AW998" s="627" t="s">
        <v>664</v>
      </c>
      <c r="AX998" s="627" t="s">
        <v>664</v>
      </c>
      <c r="AY998" s="627" t="s">
        <v>664</v>
      </c>
      <c r="AZ998" s="627" t="s">
        <v>664</v>
      </c>
      <c r="BA998" s="627" t="s">
        <v>664</v>
      </c>
      <c r="BB998" s="627" t="s">
        <v>664</v>
      </c>
      <c r="BC998" s="627" t="s">
        <v>664</v>
      </c>
      <c r="BD998" s="627" t="s">
        <v>664</v>
      </c>
      <c r="BE998" s="627" t="s">
        <v>664</v>
      </c>
      <c r="BF998" s="627" t="s">
        <v>664</v>
      </c>
      <c r="BG998" s="627" t="s">
        <v>664</v>
      </c>
      <c r="BH998" s="627" t="s">
        <v>664</v>
      </c>
      <c r="BI998" s="627" t="s">
        <v>664</v>
      </c>
      <c r="BJ998" s="627" t="s">
        <v>664</v>
      </c>
      <c r="BK998" s="627" t="s">
        <v>664</v>
      </c>
      <c r="BL998" s="627" t="s">
        <v>664</v>
      </c>
      <c r="BM998" s="627" t="s">
        <v>664</v>
      </c>
      <c r="BN998" s="627" t="s">
        <v>664</v>
      </c>
      <c r="BO998" s="627" t="s">
        <v>664</v>
      </c>
      <c r="BP998" s="627" t="s">
        <v>664</v>
      </c>
      <c r="BQ998" s="627" t="s">
        <v>664</v>
      </c>
      <c r="BR998" s="627" t="s">
        <v>664</v>
      </c>
      <c r="BS998" s="898" t="e">
        <f>SUM(INDEX($BS:$BS,ROW()+1):INDEX($BS:$BS,$CE998))</f>
        <v>#N/A</v>
      </c>
      <c r="BT998" s="898" t="e">
        <f>SUM(INDEX($BT:$BT,ROW()+1):INDEX($BT:$BT,$CE998))</f>
        <v>#N/A</v>
      </c>
      <c r="BU998" s="627" t="s">
        <v>664</v>
      </c>
      <c r="BV998" s="626" t="e">
        <f>SUMPRODUCT($BS998:INDEX($BS:$BS,$CE998),$BU998:INDEX($BU:$BU,$CE998))</f>
        <v>#N/A</v>
      </c>
      <c r="BW998" s="373" t="e">
        <f>$D998*$BV998</f>
        <v>#N/A</v>
      </c>
      <c r="BX998" s="794" cm="1">
        <f t="array" ref="BX998">IF($CG998=0,0,IF(INDEX(BOM!$P:$P,$CG998)=0,0,
SUMPRODUCT($BW998:INDEX($BW:$BW,IFERROR(ROW()+MATCH($CL998,INDEX($CL:$CL,ROW()+1):INDEX($CL:$CL,MAX($CE:$CE)),0)-1,MAX($CE:$CE))),
($CL998:INDEX($CL:$CL,IFERROR(ROW()+MATCH($CL998,INDEX($CL:$CL,ROW()+1):INDEX($CL:$CL,MAX($CE:$CE)),0)-1,MAX($CE:$CE)))&gt;=$CL998)*1)
))</f>
        <v>0</v>
      </c>
      <c r="BY998" s="374"/>
      <c r="BZ998" s="375" cm="1">
        <f t="array" ref="BZ998">IF($CG998=0,0,INDEX(BOM!$M:$M,$CG998))</f>
        <v>0</v>
      </c>
      <c r="CA998" s="263">
        <f>IF($BZ998&gt;0,VALUE(LEFT($BZ998,IF(ISERROR(FIND("-",$BZ998)),LEN($BZ998),FIND("-",$BZ998)-1))),INDEX($BZ$1:BZ998,MATCH("",$A$1:A998,-1)))</f>
        <v>0</v>
      </c>
      <c r="CB998" s="263">
        <f>IF(LEN($BZ998)-LEN(SUBSTITUTE($BZ998,"-",))&gt;1,
VALUE(MID($BZ998,FIND("-",$BZ998)+1,FIND("-",$BZ998,FIND("-",$BZ998)+1)-FIND("-",$BZ998)-1)),0)</f>
        <v>0</v>
      </c>
      <c r="CC998" s="263">
        <f>IF(NOT(ISERROR(FIND("-",BZ998))),
VALUE(RIGHT($BZ998,LEN($BZ998)-IF(LEN($BZ998)-LEN(SUBSTITUTE($BZ998,"-",""))=1,FIND("-",$BZ998),FIND("-",$BZ998,FIND("-",$BZ998)+1)))),0)</f>
        <v>0</v>
      </c>
      <c r="CD998" s="376"/>
      <c r="CE998" s="263" t="e" cm="1">
        <f t="array" ref="CE998">ROW()+MATCH(TRUE,_xlfn.ISFORMULA(INDEX(BW:BW,ROW()+1):INDEX(BW:BW,ROW()+MaxNumberOfRowsPerBlock)),0)-1</f>
        <v>#N/A</v>
      </c>
      <c r="CF998" s="377" cm="1">
        <f t="array" ref="CF998">IF(CL998=0,-1,IF(CL998=1,7,MAX(IF($CL$1:$CL998=CL998-1,ROW($CL$1:$CL998),0))))</f>
        <v>-1</v>
      </c>
      <c r="CG998" s="376">
        <f>IFERROR(MATCH($B998,BOM!$A:$A,0),0)</f>
        <v>0</v>
      </c>
      <c r="CH998" s="263" t="e">
        <f>MATCH($CA998,Premises!$A$10:$F$10,0)</f>
        <v>#N/A</v>
      </c>
      <c r="CI998" s="263"/>
      <c r="CJ998" s="377"/>
      <c r="CK998" s="263"/>
      <c r="CL998" s="263" cm="1">
        <f t="array" ref="CL998">IF($CG998=0,0,INDEX(BOM!$C:$C,$CG998))</f>
        <v>0</v>
      </c>
      <c r="CM998" s="378" cm="1">
        <f t="array" ref="CM998">IF($CG998=0,0,IF(OR($CF998&lt;0,AND(INDEX($CB:$CB,$CF998)=$CB998,INDEX($CC:$CC,$CF998)=$CC998)),0,IF(INDEX(BOM!$P:$P,$CG998)=0,$BT998,(SUMIF($CA998:INDEX($CA:$CA,IFERROR(ROW()+MATCH($CL998,INDEX($CL:$CL,ROW()+1):INDEX($CL:$CL,MAX($CE:$CE)),0)-1,MAX($CE:$CE))),$CA998,$BT998:INDEX($BT:$BT,IFERROR(ROW()+MATCH($CL998,INDEX($CL:$CL,ROW()+1):INDEX($CL:$CL,MAX($CE:$CE)),0)-1,MAX($CE:$CE))))+SUMIF($CB998:INDEX($CB:$CB,IFERROR(ROW()+MATCH($CL998,INDEX($CL:$CL,ROW()+1):INDEX($CL:$CL,MAX($CE:$CE)),0)-1,MAX($CE:$CE))),$CA998,$BT998:INDEX($BT:$BT,IFERROR(ROW()+MATCH($CL998,INDEX($CL:$CL,ROW()+1):INDEX($CL:$CL,MAX($CE:$CE)),0)-1,MAX($CE:$CE)))))/2)))</f>
        <v>0</v>
      </c>
      <c r="CN998" s="379" cm="1">
        <f t="array" ref="CN998">IFERROR(IF($CB998=0,0,IF($CM998=0,INDEX($CN$1:$CN998,$CF998),INDEX(IF($CM998&lt;0.2,Premises!$A$43:$F$43,IF($CM998&lt;5,Premises!$A$46:$F$46,Premises!$A$49:$F$49)),MATCH($CB998,Premises!$A$10:$F$10,0))/($CM998*INDEX(Premises!$A$13:$F$13,MATCH($CB998,Premises!$A$10:$F$10,0)))+INDEX(IF($CM998&lt;0.2,Premises!$A$44:$F$44,IF($CM998&lt;5,Premises!$A$47:$F$47,Premises!$A$50:$F$50)),MATCH($CB998,Premises!$A$10:$F$10,0))+INDEX(IF($CM998&lt;0.2,Premises!$A$45:$F$45,IF($CM998&lt;5,Premises!$A$48:$F$48,Premises!$A$51:$F$51)),MATCH($CB998,Premises!$A$10:$F$10,0))/$CM998)),0.01)</f>
        <v>0</v>
      </c>
      <c r="CO998" s="378" cm="1">
        <f t="array" ref="CO998">IF($CG998=0,0,IF(INDEX($CC:$CC,$CF998)=$CC998,0,$CM998*(1+IFERROR(INDEX(Premises!$A$52:$F$52,1,MATCH($CB998,Premises!$A$10:$F$10,0)),0)+$CN998)))</f>
        <v>0</v>
      </c>
      <c r="CP998" s="379" cm="1">
        <f t="array" ref="CP998">IFERROR(IF($CC998=0,0,IF($CO998=0,INDEX($CP$1:$CP998,$CF998),INDEX(IF($CO998&lt;0.2,Premises!$A$43:$F$43,IF($CO998&lt;5,Premises!$A$46:$F$46,Premises!$A$49:$F$49)),MATCH($CC998,Premises!$A$10:$F$10,0))/($CO998*INDEX(Premises!$A$13:$F$13,MATCH($CC998,Premises!$A$10:$F$10,0)))+INDEX(IF($CO998&lt;0.2,Premises!$A$44:$F$44,IF($CO998&lt;5,Premises!$A$47:$F$47,Premises!$A$50:$F$50)),MATCH($CC998,Premises!$A$10:$F$10,0))+INDEX(IF($CO998&lt;0.2,Premises!$A$45:$F$45,IF($CO998&lt;5,Premises!$A$48:$F$48,Premises!$A$51:$F$51)),MATCH($CC998,Premises!$A$10:$F$10,0))/$CO998)),0.01)</f>
        <v>0</v>
      </c>
      <c r="CQ998" s="380" cm="1">
        <f t="array" ref="CQ998">IF(AND($CM998=0,$CO998=0),0,INDEX(BOM!$O:$O,$CG998))</f>
        <v>0</v>
      </c>
      <c r="CR998" s="381" cm="1">
        <f t="array" ref="CR998">IF(OR($CM998=0,$CN998=0),0,ACOS(COS(RADIANS(90-INDEX(Premises!$A$66:$F$66,1,$CH998)))*COS(RADIANS(90-INDEX(Premises!$A$66:$F$66,1,MATCH($CB998,Premises!$A$10:$F$10,0))))
+SIN(RADIANS(90-INDEX(Premises!$A$66:$F$66,1,$CH998)))*SIN(RADIANS(90-INDEX(Premises!$A$66:$F$66,1,MATCH($CB998,Premises!$A$10:$F$10,0)))) * COS(RADIANS(INDEX(Premises!$A$67:$F$67,1,$CH998)-INDEX(Premises!$A$67:$F$67,1,MATCH($CB998,Premises!$A$10:$F$10,0)))))*6371)</f>
        <v>0</v>
      </c>
      <c r="CS998" s="381" cm="1">
        <f t="array" ref="CS998">IF(OR($CO998=0,$CP998=0),0,
IF($CR998=0,ACOS(COS(RADIANS(90-INDEX(Premises!$A$66:$F$66,1,$CH998)))*COS(RADIANS(90-INDEX(Premises!$A$66:$F$66,1,MATCH($CC998,Premises!$A$10:$F$10,0))))
+SIN(RADIANS(90-INDEX(Premises!$A$66:$F$66,1,$CH998)))*SIN(RADIANS(90-INDEX(Premises!$A$66:$F$66,1,MATCH($CC998,Premises!$A$10:$F$10,0))))*COS(RADIANS(INDEX(Premises!$A$67:$F$67,1,$CH998)-INDEX(Premises!$A$67:$F$67,1,MATCH($CC998,Premises!$A$10:$F$10,0)))))*6371,
ACOS(COS(RADIANS(90-INDEX(Premises!$A$66:$F$66,1,MATCH($CB998,Premises!$A$10:$F$10,0))))*COS(RADIANS(90-INDEX(Premises!$A$66:$F$66,1,MATCH($CC998,Premises!$A$10:$F$10,0))))
+SIN(RADIANS(90-INDEX(Premises!$A$66:$F$66,1,MATCH($CB998,Premises!$A$10:$F$10,0))))*SIN(RADIANS(90-INDEX(Premises!$A$66:$F$66,1,MATCH($CC998,Premises!$A$10:$F$10,0))))*COS(RADIANS(INDEX(Premises!$A$67:$F$67,1,MATCH($CB998,Premises!$A$10:$F$10,0))-INDEX(Premises!$A$67:$F$67,1,MATCH($CC998,Premises!$A$10:$F$10,0)))))*6371))</f>
        <v>0</v>
      </c>
      <c r="CT998" s="1130"/>
      <c r="CU998" s="1129" t="s">
        <v>36</v>
      </c>
      <c r="CV998" s="382" t="e">
        <f>SUM(INDEX(CV:CV,ROW()+1):INDEX(CV:CV,$CE998))</f>
        <v>#N/A</v>
      </c>
      <c r="CW998" s="383" t="e">
        <f>SUM(INDEX(CW:CW,ROW()+1):INDEX(CW:CW,$CE998))</f>
        <v>#N/A</v>
      </c>
      <c r="CX998" s="383" t="e">
        <f>SUM(INDEX(CX:CX,ROW()+1):INDEX(CX:CX,$CE998))</f>
        <v>#N/A</v>
      </c>
      <c r="CY998" s="383" t="e">
        <f>SUM(INDEX(CY:CY,ROW()+1):INDEX(CY:CY,$CE998))</f>
        <v>#N/A</v>
      </c>
      <c r="CZ998" s="383" t="e">
        <f>SUM(INDEX(CZ:CZ,ROW()+1):INDEX(CZ:CZ,$CE998))</f>
        <v>#N/A</v>
      </c>
      <c r="DA998" s="383" t="e">
        <f>SUM(INDEX(DA:DA,ROW()+1):INDEX(DA:DA,$CE998))</f>
        <v>#N/A</v>
      </c>
      <c r="DB998" s="383" t="e">
        <f>SUM(INDEX(DB:DB,ROW()+1):INDEX(DB:DB,$CE998))</f>
        <v>#N/A</v>
      </c>
      <c r="DC998" s="383" t="e">
        <f>SUM(INDEX(DC:DC,ROW()+1):INDEX(DC:DC,$CE998))</f>
        <v>#N/A</v>
      </c>
      <c r="DD998" s="383" t="e">
        <f>SUM(INDEX(DD:DD,ROW()+1):INDEX(DD:DD,$CE998))</f>
        <v>#N/A</v>
      </c>
      <c r="DE998" s="383" t="e">
        <f>SUM(INDEX(DE:DE,ROW()+1):INDEX(DE:DE,$CE998))</f>
        <v>#N/A</v>
      </c>
      <c r="DF998" s="383" t="e">
        <f>SUM(INDEX(DF:DF,ROW()+1):INDEX(DF:DF,$CE998))</f>
        <v>#N/A</v>
      </c>
      <c r="DG998" s="383" t="e">
        <f>SUM(INDEX(DG:DG,ROW()+1):INDEX(DG:DG,$CE998))</f>
        <v>#N/A</v>
      </c>
      <c r="DH998" s="383" t="e">
        <f>SUM(INDEX(DH:DH,ROW()+1):INDEX(DH:DH,$CE998))</f>
        <v>#N/A</v>
      </c>
      <c r="DI998" s="383" t="e">
        <f>SUM(INDEX(DI:DI,ROW()+1):INDEX(DI:DI,$CE998))</f>
        <v>#N/A</v>
      </c>
      <c r="DJ998" s="383" t="e">
        <f>SUM(INDEX(DJ:DJ,ROW()+1):INDEX(DJ:DJ,$CE998))</f>
        <v>#N/A</v>
      </c>
      <c r="DK998" s="383" t="e">
        <f>SUM(INDEX(DK:DK,ROW()+1):INDEX(DK:DK,$CE998))</f>
        <v>#N/A</v>
      </c>
      <c r="DL998" s="383" t="e">
        <f>SUM(INDEX(DL:DL,ROW()+1):INDEX(DL:DL,$CE998))</f>
        <v>#N/A</v>
      </c>
      <c r="DM998" s="383" t="e">
        <f>SUM(INDEX(DM:DM,ROW()+1):INDEX(DM:DM,$CE998))</f>
        <v>#N/A</v>
      </c>
      <c r="DN998" s="383" t="e">
        <f>SUM(INDEX(DN:DN,ROW()+1):INDEX(DN:DN,$CE998))</f>
        <v>#N/A</v>
      </c>
      <c r="DO998" s="383" t="e">
        <f>SUM(INDEX(DO:DO,ROW()+1):INDEX(DO:DO,$CE998))</f>
        <v>#N/A</v>
      </c>
      <c r="DP998" s="383" t="e">
        <f>SUM(INDEX(DP:DP,ROW()+1):INDEX(DP:DP,$CE998))</f>
        <v>#N/A</v>
      </c>
      <c r="DQ998" s="383" t="e">
        <f>SUM(INDEX(DQ:DQ,ROW()+1):INDEX(DQ:DQ,$CE998))</f>
        <v>#N/A</v>
      </c>
      <c r="DR998" s="383" t="e">
        <f>SUM(INDEX(DR:DR,ROW()+1):INDEX(DR:DR,$CE998))</f>
        <v>#N/A</v>
      </c>
      <c r="DS998" s="383" t="e">
        <f>SUM(INDEX(DS:DS,ROW()+1):INDEX(DS:DS,$CE998))</f>
        <v>#N/A</v>
      </c>
      <c r="DT998" s="383" t="e">
        <f>SUM(INDEX(DT:DT,ROW()+1):INDEX(DT:DT,$CE998))</f>
        <v>#N/A</v>
      </c>
      <c r="DU998" s="383" t="e">
        <f>SUM(INDEX(DU:DU,ROW()+1):INDEX(DU:DU,$CE998))</f>
        <v>#N/A</v>
      </c>
      <c r="DV998" s="383" t="e">
        <f>SUM(INDEX(DV:DV,ROW()+1):INDEX(DV:DV,$CE998))</f>
        <v>#N/A</v>
      </c>
      <c r="DW998" s="383" t="e">
        <f>SUM(INDEX(DW:DW,ROW()+1):INDEX(DW:DW,$CE998))</f>
        <v>#N/A</v>
      </c>
      <c r="DX998" s="383" t="e">
        <f>SUM(INDEX(DX:DX,ROW()+1):INDEX(DX:DX,$CE998))</f>
        <v>#N/A</v>
      </c>
      <c r="DY998" s="383" t="e">
        <f>SUM(INDEX(DY:DY,ROW()+1):INDEX(DY:DY,$CE998))</f>
        <v>#N/A</v>
      </c>
      <c r="DZ998" s="383" t="e">
        <f>SUM(INDEX(DZ:DZ,ROW()+1):INDEX(DZ:DZ,$CE998))</f>
        <v>#N/A</v>
      </c>
      <c r="EA998" s="383" t="e">
        <f>SUM(INDEX(EA:EA,ROW()+1):INDEX(EA:EA,$CE998))</f>
        <v>#N/A</v>
      </c>
      <c r="EB998" s="384" t="e">
        <f>SUM(INDEX(EB:EB,ROW()+1):INDEX(EB:EB,$CE998))</f>
        <v>#N/A</v>
      </c>
      <c r="EC998" s="783"/>
      <c r="ED998" s="382"/>
      <c r="EE998" s="383"/>
      <c r="EF998" s="1090"/>
      <c r="EG998" s="1090"/>
      <c r="EH998" s="1090"/>
      <c r="EI998" s="1090"/>
      <c r="EJ998" s="1090"/>
      <c r="EK998" s="1090"/>
      <c r="EL998" s="1090"/>
      <c r="EM998" s="1090"/>
      <c r="EN998" s="1090"/>
      <c r="EO998" s="1090"/>
      <c r="EP998" s="1090"/>
      <c r="EQ998" s="1090"/>
      <c r="ER998" s="1090"/>
      <c r="ES998" s="1090"/>
      <c r="ET998" s="1090"/>
      <c r="EU998" s="1090"/>
      <c r="EV998" s="1090"/>
      <c r="EW998" s="1090"/>
      <c r="EX998" s="1091"/>
      <c r="EY998" s="2"/>
      <c r="EZ998" s="2"/>
      <c r="FA998" s="2"/>
      <c r="FB998" s="2"/>
      <c r="FC998" s="2"/>
      <c r="FD998" s="2"/>
      <c r="FE998" s="2"/>
      <c r="FF998" s="2"/>
      <c r="FG998" s="2"/>
      <c r="FH998" s="2"/>
      <c r="FI998" s="2"/>
      <c r="FJ998" s="382"/>
      <c r="FK998" s="383"/>
      <c r="FL998" s="384"/>
      <c r="FM998" s="1131"/>
    </row>
    <row r="999" spans="1:169" s="13" customFormat="1" ht="12.75" customHeight="1">
      <c r="A999" s="215"/>
      <c r="B999" s="385"/>
      <c r="C999" s="386"/>
      <c r="D999" s="629"/>
      <c r="E999" s="387"/>
      <c r="F999" s="388"/>
      <c r="G999" s="388"/>
      <c r="H999" s="388"/>
      <c r="I999" s="620" cm="1">
        <f t="array" ref="I999">IF($CI999=0,0,IFERROR(INDEX(MHR[],$CI999,MATCH($CA999,MHR!$B$4:$AY$4,0)),0))</f>
        <v>0</v>
      </c>
      <c r="J999" s="617">
        <f>IF(COUNTBLANK($E999:$H999),0,IFERROR($F999/$H999/IF($G999="s",3600,IF($G999="min",60,IF($G999="h",1,0)))*I999,0))</f>
        <v>0</v>
      </c>
      <c r="K999" s="389"/>
      <c r="L999" s="390"/>
      <c r="M999" s="849"/>
      <c r="N999" s="390"/>
      <c r="O999" s="388"/>
      <c r="P999" s="628" cm="1">
        <f t="array" ref="P999">IF($K999=0,0,IFERROR(ROUNDUP(IF(ISNUMBER($K999),$K999,INDEX($D$1:$D999,$CD999)*INDEX(Premises!$A$13:$F$13,1,$CH999)/IF(OR($K999="T",$K999="D"),250,IF($K999="W",50,IF($K999="M",12,IF(OR($K999="HJ",$K999="HY"),2,IF(OR($K999="J",$K999="Y"),1,0)))))),0),0))</f>
        <v>0</v>
      </c>
      <c r="Q999" s="620" cm="1">
        <f t="array" ref="Q999">IF($K999=0,0,IFERROR(INDEX(Premises!$A$22:$F$22,1,$CH999)*100/INDEX(Premises!$A$16:$F$16,1,$CH999),0))</f>
        <v>0</v>
      </c>
      <c r="R999" s="617">
        <f>IF($P999=0,0,IFERROR(($L999/60*($I999+$Q999*$M999)+($N999/60*($Q999*$O999)))/$P999,0))</f>
        <v>0</v>
      </c>
      <c r="S999" s="391"/>
      <c r="T999" s="392"/>
      <c r="U999" s="620" cm="1">
        <f t="array" ref="U999">IF(COUNTBLANK($S999:$T999),0,
IF(AND(INDEX(MHR[Schichtmodell],$CI999)&lt;&gt;0,INDEX(MHR[Schichtmodell],$CI999)&lt;&gt;INDEX(Premises!$A$20:$F$20,1,$CH999)),ExchangeRate*
IF(OR($T999="M",$T999="U"),IF(INDEX(MHR[Schichtmodell],$CI999)=1,INDEX(LOC[M1S],INDEX(Premises!$A$18:$F$18,1,$CH999+1)),IF(INDEX(MHR[Schichtmodell],$CI999)=2,INDEX(LOC[M2S],INDEX(Premises!$A$18:$F$18,1,$CH999+1),IF(INDEX(MHR[Schichtmodell],$CI999)=3,INDEX(LOC[M3S],INDEX(Premises!$A$18:$F$18,1,$CH999+1)),0)))),
IF(INDEX(MHR[Schichtmodell],$CI999)=1,INDEX(LOC[F1S],INDEX(Premises!$A$18:$F$18,1,$CH999+1)),IF(INDEX(MHR[Schichtmodell],$CI999)=2,INDEX(LOC[F2S],INDEX(Premises!$A$18:$F$18,1,$CH999+1)),IF(INDEX(MHR[Schichtmodell],$CI999)=3,INDEX(LOC[F3S],INDEX(Premises!$A$18:$F$18,1,$CH999+1)),0)))),
IF(OR($T999="M",$T999="U"),INDEX(Premises!$A$21:$F$21,1,$CH999),
IF(OR($T999="F",$T999="S"),INDEX(Premises!$A$22:$F$22,1,$CH999),0)))*100/INDEX(Premises!$A$16:$F$16,1,$CH999))</f>
        <v>0</v>
      </c>
      <c r="V999" s="614">
        <f>IF($U999=0,0,IFERROR($F999/$H999/IF($G999="s",3600,IF($G999="min",60,IF($G999="h",1,0)))*$S999*$U999,0))</f>
        <v>0</v>
      </c>
      <c r="W999" s="393"/>
      <c r="X999" s="386"/>
      <c r="Y999" s="394"/>
      <c r="Z999" s="395"/>
      <c r="AA999" s="611">
        <f>IFERROR($X999*$Z999/$Y999/MAX(1,$H999),0)</f>
        <v>0</v>
      </c>
      <c r="AB999" s="393"/>
      <c r="AC999" s="386"/>
      <c r="AD999" s="394"/>
      <c r="AE999" s="396"/>
      <c r="AF999" s="611">
        <f>IFERROR($AC999*$AE999/$AD999,0)</f>
        <v>0</v>
      </c>
      <c r="AG999" s="612" cm="1">
        <f t="array" ref="AG999">IF(($J999+$V999+$AF999)=0,0,INDEX(Premises!$A$30:$F$30,1,$CH999)/100)</f>
        <v>0</v>
      </c>
      <c r="AH999" s="397"/>
      <c r="AI999" s="398"/>
      <c r="AJ999" s="399"/>
      <c r="AK999" s="613">
        <f>IF(COUNTBLANK($AH999:$AI999),0,$AH999*$AI999*$AG999)</f>
        <v>0</v>
      </c>
      <c r="AL999" s="614">
        <f>($AK999+$AJ999*$AG999*(1-$AH999)+($J999+$V999+$AF999)*$AG999*(1-$AH999))</f>
        <v>0</v>
      </c>
      <c r="AM999" s="615" cm="1">
        <f t="array" ref="AM999">IF($CI999=0,0,IFERROR(INDEX(MHR[],$CI999,MATCH($CA999,MHR!$B$4:$AY$4,0)+11),0))</f>
        <v>0</v>
      </c>
      <c r="AN999" s="616" cm="1">
        <f t="array" ref="AN999">IF(($J999+$V999)=0,0,IFERROR(IF(INDEX(Premises!$A$41:$F$41,1,$CH999)&lt;&gt;0,INDEX(Premises!$A$41:$F$41,1,$CH999)/100,(IFERROR(($J999/$I999)*$AM999,0)/($V999+$J999+$R999+$AL999))),0))</f>
        <v>0</v>
      </c>
      <c r="AO999" s="617">
        <f>IF(($J999+$V999)=0,0,IF(IFERROR(($J999+$R999+$V999+$AL999)*$AN999,0)&lt;&gt;IFERROR(($J999/$I999)*$AM999,0),($J999+$R999+$V999+$AL999)*$AN999,IFERROR(($J999/$I999)*$AM999,0)))</f>
        <v>0</v>
      </c>
      <c r="AP999" s="618">
        <f>$V999+$J999+$R999+$AA999+$AF999+$AL999+$AO999</f>
        <v>0</v>
      </c>
      <c r="AQ999" s="393"/>
      <c r="AR999" s="392"/>
      <c r="AS999" s="619" cm="1">
        <f t="array" ref="AS999">IF($CJ999=0,0,IFERROR(INDEX(MAT[Einheit],$CJ999,1),0))</f>
        <v>0</v>
      </c>
      <c r="AT999" s="620" cm="1">
        <f t="array" ref="AT999">IF($CJ999=0,0,IFERROR(INDEX(MAT[Preis],$CJ999,1),0))</f>
        <v>0</v>
      </c>
      <c r="AU999" s="621">
        <f>$AR999*$AT999</f>
        <v>0</v>
      </c>
      <c r="AV999" s="622" cm="1">
        <f t="array" ref="AV999">IF($AU999&lt;=0,0,INDEX(Premises!$A$30:$F$30,1,$CH999)/100)</f>
        <v>0</v>
      </c>
      <c r="AW999" s="392"/>
      <c r="AX999" s="614">
        <f>IF($AV999=0,0,($AU999+$AW999)*$AV999)</f>
        <v>0</v>
      </c>
      <c r="AY999" s="623" cm="1">
        <f t="array" ref="AY999">IF($AT999&lt;=0,0,IFERROR(IF(INDEX(Premises!$A$42:$F$42,1,$CH999)&lt;&gt;0,INDEX(Premises!$A$42:$F$42,1,$CH999)/100,(INDEX(MAT[],$CJ999,MATCH($CA999,MAT!$B$4:$AE$4,0))/($AR999*$CK999*INDEX(Premises!$A$13:$F$13,1,$CH999))+INDEX(MAT[],$CJ999,MATCH($CA999,MAT!$B$4:$AE$4,0)+7))/$AT999),0))</f>
        <v>0</v>
      </c>
      <c r="AZ999" s="614">
        <f>IF($AY999=0,0,($AU999+$AX999)*$AY999)</f>
        <v>0</v>
      </c>
      <c r="BA999" s="618">
        <f>$AU999+$AX999+$AZ999</f>
        <v>0</v>
      </c>
      <c r="BB999" s="618">
        <f>$AP999+$BA999</f>
        <v>0</v>
      </c>
      <c r="BC999" s="622" cm="1">
        <f t="array" ref="BC999">IF($BB999&lt;=0,0,IF(BC$2=-1,0,INDEX(Premises!$A$32:$F$32,1,$CH999)/100))</f>
        <v>0</v>
      </c>
      <c r="BD999" s="614">
        <f>IF($AP999&lt;=0,0,($AP999-$AA999-$AL999)*$BC999)</f>
        <v>0</v>
      </c>
      <c r="BE999" s="622" cm="1">
        <f t="array" ref="BE999">IF($BB999&lt;=0,0,IF(BE$2=-1,0,INDEX(Premises!$A$33:$F$33,1,$CH999)/100))</f>
        <v>0</v>
      </c>
      <c r="BF999" s="614">
        <f>IF($BA999&lt;=0,0,$BA999*$BE999)</f>
        <v>0</v>
      </c>
      <c r="BG999" s="622" cm="1">
        <f t="array" ref="BG999">IF($BB999&lt;=0,0,IF(BG$2=-1,0,INDEX(Premises!$A$31:$F$31,1,$CH999)/100))</f>
        <v>0</v>
      </c>
      <c r="BH999" s="614">
        <f>(($AP999-$AA999-$AL999)+$BA999)*$BG999</f>
        <v>0</v>
      </c>
      <c r="BI999" s="618">
        <f>$BB999+$BD999+$BF999+$BH999</f>
        <v>0</v>
      </c>
      <c r="BJ999" s="622" cm="1">
        <f t="array" ref="BJ999">IF($BB999&lt;=0,0,IF(BJ$2=-1,0,INDEX(Premises!$A$35:$F$35,1,$CH999)/100))</f>
        <v>0</v>
      </c>
      <c r="BK999" s="614">
        <f>IF($AP999&lt;=0,0,($AP999-$AL999-$AA999)*$BJ999)</f>
        <v>0</v>
      </c>
      <c r="BL999" s="622" cm="1">
        <f t="array" ref="BL999">IF($BB999&lt;=0,0,IF(BL$2=-1,0,INDEX(Premises!$A$36:$F$36,1,$CH999)/100))</f>
        <v>0</v>
      </c>
      <c r="BM999" s="614">
        <f>IF($AU999&lt;=0,0,($AR999*$AT999)*$BL999)</f>
        <v>0</v>
      </c>
      <c r="BN999" s="622" cm="1">
        <f t="array" ref="BN999">IF($BB999&lt;=0,0,IF(BN$2=-1,0,INDEX(Premises!$A$34:$F$34,1,$CH999)/100))</f>
        <v>0</v>
      </c>
      <c r="BO999" s="614">
        <f>(($AP999-$AL999-$AA999)+($AR999*$AT999))*$BN999</f>
        <v>0</v>
      </c>
      <c r="BP999" s="622" cm="1">
        <f t="array" ref="BP999">IF($BI999=0,0,INDEX(Premises!$A$37:$F$37,1,$CH999)/100)</f>
        <v>0</v>
      </c>
      <c r="BQ999" s="392"/>
      <c r="BR999" s="614">
        <f>($BI999+$BK999+$BM999+$BO999)*$BP999+$BQ999</f>
        <v>0</v>
      </c>
      <c r="BS999" s="624">
        <f>BI999+BK999+BM999+BO999+BR999</f>
        <v>0</v>
      </c>
      <c r="BT999" s="624">
        <f>IF($BS999=0,0,$CK999*$BS999)</f>
        <v>0</v>
      </c>
      <c r="BU999" s="625">
        <f>IF($BT999=0,0,MAX(1,$EB999/$DP999))</f>
        <v>0</v>
      </c>
      <c r="BV999" s="1127"/>
      <c r="BW999" s="401"/>
      <c r="BX999" s="401"/>
      <c r="BY999" s="402"/>
      <c r="BZ999" s="946"/>
      <c r="CA999" s="263" t="e" cm="1">
        <f t="array" ref="CA999">IF($BZ999&gt;0,VALUE(LEFT($BZ999,IF(ISERROR(FIND("-",$BZ999)),LEN($BZ999),FIND("-",$BZ999)-1))),INDEX($CA$1:$CA999,MAX(1,$CD999)))</f>
        <v>#N/A</v>
      </c>
      <c r="CB999" s="263" cm="1">
        <f t="array" ref="CB999">IF($BT999=0,0,IF(LEN($BZ999)-LEN(SUBSTITUTE($BZ999,"-",""))&gt;1,
VALUE(MID($BZ999,FIND("-",$BZ999)+1,FIND("-",$BZ999,FIND("-",$BZ999)+1)-FIND("-",$BZ999)-1)),IF($BZ999&gt;0,0,INDEX($CB$1:$CB999,MAX(1,$CD999)))))</f>
        <v>0</v>
      </c>
      <c r="CC999" s="263" cm="1">
        <f t="array" ref="CC999">IF($BT999=0,0,IF(NOT(ISERROR(FIND("-",BZ999))),
VALUE(RIGHT($BZ999,LEN($BZ999)-IF(LEN($BZ999)-LEN(SUBSTITUTE($BZ999,"-",""))=1,FIND("-",$BZ999),FIND("-",$BZ999,FIND("-",$BZ999)+1)))),
IF($BZ999&gt;0,0,INDEX($CC$1:$CC999,MAX(1,$CD999)))))</f>
        <v>0</v>
      </c>
      <c r="CD999" s="376" t="e">
        <f>MATCH(0,$CE$1:$CE999,-1)</f>
        <v>#N/A</v>
      </c>
      <c r="CE999" s="263"/>
      <c r="CF999" s="377"/>
      <c r="CG999" s="376" t="e" cm="1">
        <f t="array" ref="CG999">INDEX($CG$1:$CG999,$CD999)</f>
        <v>#N/A</v>
      </c>
      <c r="CH999" s="263" t="e">
        <f>MATCH($CA999,Premises!$A$10:$F$10,0)</f>
        <v>#N/A</v>
      </c>
      <c r="CI999" s="263">
        <f>IF(ISBLANK($E999),0,IFERROR(MATCH($E999,MHR[Bezeichnung],0),0))</f>
        <v>0</v>
      </c>
      <c r="CJ999" s="377">
        <f>IF(ISBLANK($AQ999),0,IFERROR(MATCH($AQ999,MAT[Bezeichnung],0),0))</f>
        <v>0</v>
      </c>
      <c r="CK999" s="263" t="e" cm="1">
        <f t="array" ref="CK999">INDEX($D$1:$D999,$CD999)</f>
        <v>#N/A</v>
      </c>
      <c r="CL999" s="263"/>
      <c r="CM999" s="378"/>
      <c r="CN999" s="379" cm="1">
        <f t="array" ref="CN999">IF($CB999=0,0,IF($CB999=INDEX($CB$1:$CB999,$CD999),INDEX($CN$1:$CN999,$CD999),$CP999))</f>
        <v>0</v>
      </c>
      <c r="CO999" s="378"/>
      <c r="CP999" s="379" cm="1">
        <f t="array" ref="CP999">IF($CC999=0,0,INDEX($CP$1:$CP999,$CD999))</f>
        <v>0</v>
      </c>
      <c r="CQ999" s="380"/>
      <c r="CR999" s="381"/>
      <c r="CS999" s="381"/>
      <c r="CT999" s="1132"/>
      <c r="CU999" s="1129"/>
      <c r="CV999" s="630" t="e">
        <f>$J999*$CK999</f>
        <v>#N/A</v>
      </c>
      <c r="CW999" s="631" t="e">
        <f>$R999*$CK999</f>
        <v>#N/A</v>
      </c>
      <c r="CX999" s="631" t="e">
        <f>$V999*$CK999</f>
        <v>#N/A</v>
      </c>
      <c r="CY999" s="631" t="e">
        <f>$AA999*$CK999</f>
        <v>#N/A</v>
      </c>
      <c r="CZ999" s="631" t="e">
        <f>$AF999*$CK999</f>
        <v>#N/A</v>
      </c>
      <c r="DA999" s="631" t="e">
        <f>$AL999*$CK999</f>
        <v>#N/A</v>
      </c>
      <c r="DB999" s="631" t="e">
        <f>$AO999*$CK999</f>
        <v>#N/A</v>
      </c>
      <c r="DC999" s="632" t="e">
        <f>$AP999*$CK999</f>
        <v>#N/A</v>
      </c>
      <c r="DD999" s="631" t="e">
        <f>$AU999*$CK999</f>
        <v>#N/A</v>
      </c>
      <c r="DE999" s="631" t="e">
        <f>$AX999*$CK999</f>
        <v>#N/A</v>
      </c>
      <c r="DF999" s="631" t="e">
        <f>$AZ999*$CK999</f>
        <v>#N/A</v>
      </c>
      <c r="DG999" s="632" t="e">
        <f>$BA999*$CK999</f>
        <v>#N/A</v>
      </c>
      <c r="DH999" s="632" t="e">
        <f>$BB999*$CK999</f>
        <v>#N/A</v>
      </c>
      <c r="DI999" s="631" t="e">
        <f>$BD999*$CK999</f>
        <v>#N/A</v>
      </c>
      <c r="DJ999" s="631" t="e">
        <f>$BF999*$CK999</f>
        <v>#N/A</v>
      </c>
      <c r="DK999" s="631" t="e">
        <f>$BH999*$CK999</f>
        <v>#N/A</v>
      </c>
      <c r="DL999" s="631" t="e">
        <f>$BK999*$CK999</f>
        <v>#N/A</v>
      </c>
      <c r="DM999" s="631" t="e">
        <f>$BM999*$CK999</f>
        <v>#N/A</v>
      </c>
      <c r="DN999" s="631" t="e">
        <f>$BO999*$CK999</f>
        <v>#N/A</v>
      </c>
      <c r="DO999" s="631" t="e">
        <f>$BR999*$CK999</f>
        <v>#N/A</v>
      </c>
      <c r="DP999" s="634" t="e">
        <f>$CK999*($BB999+$BD999+$BF999+$BH999+$BK999+$BM999+$BO999+$BR999)</f>
        <v>#N/A</v>
      </c>
      <c r="DQ999" s="929">
        <f>IF($CB999=0,0,$DP999*_xlfn.XLOOKUP($CB999,Premises!$A$10:$F$10,Premises!$A$30:$F$30)/100)</f>
        <v>0</v>
      </c>
      <c r="DR999" s="633">
        <f>IFERROR(SUM($DP999:$DQ999)*IF(INDEX(Premises!$A$42:$F$42,1,MATCH($CB999,Premises!$A$10:$F$10,0))&gt;0,INDEX(Premises!$A$42:$F$42,1,MATCH($CB999,Premises!$A$10:$F$10,0))%,$CN999),0)</f>
        <v>0</v>
      </c>
      <c r="DS999" s="633" cm="1">
        <f t="array" ref="DS999">IF($CB999=0,0,SUM($DP999:$DR999)*_xlfn.XLOOKUP($CB999,Premises!$A$10:$F$10,IF(INDEX(Settings[],MATCH(3001,Settings[ID],0),2)="B",Premises!$A$33:$F$33,Premises!$A$31:$F$31))/100)</f>
        <v>0</v>
      </c>
      <c r="DT999" s="633" cm="1">
        <f t="array" ref="DT999">IF($CB999=0,0,$DP999*_xlfn.XLOOKUP($CB999,Premises!$A$10:$F$10,IF(INDEX(Settings[],MATCH(3002,Settings[ID],0),2)="B",Premises!$A$36:$F$36,Premises!$A$34:$F$34))/100)</f>
        <v>0</v>
      </c>
      <c r="DU999" s="633">
        <f>IF($CB999=0,0,SUM($DP999:$DT999)*_xlfn.XLOOKUP($CB999,Premises!$A$10:$F$10,Premises!$A$37:$F$37)/100)</f>
        <v>0</v>
      </c>
      <c r="DV999" s="932" t="e">
        <f>SUM($DP999:$DU999)</f>
        <v>#N/A</v>
      </c>
      <c r="DW999" s="929">
        <f>IF($CC999=0,0,$DV999*_xlfn.XLOOKUP($CC999,Premises!$A$10:$F$10,Premises!$A$30:$F$30)/100)</f>
        <v>0</v>
      </c>
      <c r="DX999" s="633">
        <f>IFERROR(SUM($DV999:$DW999)*IF(INDEX(Premises!$A$42:$F$42,1,MATCH($CC999,Premises!$A$10:$F$10,0))&gt;0,INDEX(Premises!$A$42:$F$42,1,MATCH($CC999,Premises!$A$10:$F$10,0))%,$CP999),0)</f>
        <v>0</v>
      </c>
      <c r="DY999" s="633" cm="1">
        <f t="array" ref="DY999">IF($CC999=0,0,SUM($DV999:$DX999)*_xlfn.XLOOKUP($CC999,Premises!$A$10:$F$10,IF(INDEX(Settings[],MATCH(3001,Settings[ID],0),2)="B",Premises!$A$33:$F$33,Premises!$A$31:$F$31))/100)</f>
        <v>0</v>
      </c>
      <c r="DZ999" s="633" cm="1">
        <f t="array" ref="DZ999">IF($CC999=0,0,$DV999*_xlfn.XLOOKUP($CC999,Premises!$A$10:$F$10,IF(INDEX(Settings[],MATCH(3002,Settings[ID],0),2)="B",Premises!$A$36:$F$36,Premises!$A$34:$F$34))/100)</f>
        <v>0</v>
      </c>
      <c r="EA999" s="633">
        <f>IF($CC999=0,0,SUM($DV999:$DZ999)*_xlfn.XLOOKUP($CC999,Premises!$A$10:$F$10,Premises!$A$37:$F$37)/100)</f>
        <v>0</v>
      </c>
      <c r="EB999" s="634" t="e">
        <f>SUM($DV999:$EA999)</f>
        <v>#N/A</v>
      </c>
      <c r="EC999" s="783"/>
      <c r="ED999" s="1082"/>
      <c r="EE999" s="633"/>
      <c r="EF999" s="1088"/>
      <c r="EG999" s="1086"/>
      <c r="EH999" s="1086"/>
      <c r="EI999" s="1086"/>
      <c r="EJ999" s="1086"/>
      <c r="EK999" s="1086"/>
      <c r="EL999" s="1086"/>
      <c r="EM999" s="1088"/>
      <c r="EN999" s="1086"/>
      <c r="EO999" s="1086"/>
      <c r="EP999" s="1086"/>
      <c r="EQ999" s="1086"/>
      <c r="ER999" s="1088"/>
      <c r="ES999" s="1086"/>
      <c r="ET999" s="1086"/>
      <c r="EU999" s="1086"/>
      <c r="EV999" s="1086"/>
      <c r="EW999" s="1086"/>
      <c r="EX999" s="1089"/>
      <c r="EY999" s="2"/>
      <c r="EZ999" s="2"/>
      <c r="FA999" s="2"/>
      <c r="FB999" s="2"/>
      <c r="FC999" s="2"/>
      <c r="FD999" s="2"/>
      <c r="FE999" s="2"/>
      <c r="FF999" s="2"/>
      <c r="FG999" s="2"/>
      <c r="FH999" s="2"/>
      <c r="FI999" s="2"/>
      <c r="FJ999" s="403"/>
      <c r="FK999" s="404"/>
      <c r="FL999" s="405"/>
      <c r="FM999" s="1133"/>
    </row>
    <row r="1000" spans="1:169" s="13" customFormat="1" ht="12.75" customHeight="1">
      <c r="A1000" s="215"/>
      <c r="B1000" s="385"/>
      <c r="C1000" s="386"/>
      <c r="D1000" s="629"/>
      <c r="E1000" s="387"/>
      <c r="F1000" s="388"/>
      <c r="G1000" s="388"/>
      <c r="H1000" s="388"/>
      <c r="I1000" s="620" cm="1">
        <f t="array" ref="I1000">IF($CI1000=0,0,IFERROR(INDEX(MHR[],$CI1000,MATCH($CA1000,MHR!$B$4:$AY$4,0)),0))</f>
        <v>0</v>
      </c>
      <c r="J1000" s="617">
        <f>IF(COUNTBLANK($E1000:$H1000),0,IFERROR($F1000/$H1000/IF($G1000="s",3600,IF($G1000="min",60,IF($G1000="h",1,0)))*I1000,0))</f>
        <v>0</v>
      </c>
      <c r="K1000" s="389"/>
      <c r="L1000" s="390"/>
      <c r="M1000" s="849"/>
      <c r="N1000" s="390"/>
      <c r="O1000" s="388"/>
      <c r="P1000" s="628" cm="1">
        <f t="array" ref="P1000">IF($K1000=0,0,IFERROR(ROUNDUP(IF(ISNUMBER($K1000),$K1000,INDEX($D$1:$D1000,$CD1000)*INDEX(Premises!$A$13:$F$13,1,$CH1000)/IF(OR($K1000="T",$K1000="D"),250,IF($K1000="W",50,IF($K1000="M",12,IF(OR($K1000="HJ",$K1000="HY"),2,IF(OR($K1000="J",$K1000="Y"),1,0)))))),0),0))</f>
        <v>0</v>
      </c>
      <c r="Q1000" s="620" cm="1">
        <f t="array" ref="Q1000">IF($K1000=0,0,IFERROR(INDEX(Premises!$A$22:$F$22,1,$CH1000)*100/INDEX(Premises!$A$16:$F$16,1,$CH1000),0))</f>
        <v>0</v>
      </c>
      <c r="R1000" s="617">
        <f>IF($P1000=0,0,IFERROR(($L1000/60*($I1000+$Q1000*$M1000)+($N1000/60*($Q1000*$O1000)))/$P1000,0))</f>
        <v>0</v>
      </c>
      <c r="S1000" s="391"/>
      <c r="T1000" s="392"/>
      <c r="U1000" s="620" cm="1">
        <f t="array" ref="U1000">IF(COUNTBLANK($S1000:$T1000),0,
IF(AND(INDEX(MHR[Schichtmodell],$CI1000)&lt;&gt;0,INDEX(MHR[Schichtmodell],$CI1000)&lt;&gt;INDEX(Premises!$A$20:$F$20,1,$CH1000)),ExchangeRate*
IF(OR($T1000="M",$T1000="U"),IF(INDEX(MHR[Schichtmodell],$CI1000)=1,INDEX(LOC[M1S],INDEX(Premises!$A$18:$F$18,1,$CH1000+1)),IF(INDEX(MHR[Schichtmodell],$CI1000)=2,INDEX(LOC[M2S],INDEX(Premises!$A$18:$F$18,1,$CH1000+1),IF(INDEX(MHR[Schichtmodell],$CI1000)=3,INDEX(LOC[M3S],INDEX(Premises!$A$18:$F$18,1,$CH1000+1)),0)))),
IF(INDEX(MHR[Schichtmodell],$CI1000)=1,INDEX(LOC[F1S],INDEX(Premises!$A$18:$F$18,1,$CH1000+1)),IF(INDEX(MHR[Schichtmodell],$CI1000)=2,INDEX(LOC[F2S],INDEX(Premises!$A$18:$F$18,1,$CH1000+1)),IF(INDEX(MHR[Schichtmodell],$CI1000)=3,INDEX(LOC[F3S],INDEX(Premises!$A$18:$F$18,1,$CH1000+1)),0)))),
IF(OR($T1000="M",$T1000="U"),INDEX(Premises!$A$21:$F$21,1,$CH1000),
IF(OR($T1000="F",$T1000="S"),INDEX(Premises!$A$22:$F$22,1,$CH1000),0)))*100/INDEX(Premises!$A$16:$F$16,1,$CH1000))</f>
        <v>0</v>
      </c>
      <c r="V1000" s="614">
        <f>IF($U1000=0,0,IFERROR($F1000/$H1000/IF($G1000="s",3600,IF($G1000="min",60,IF($G1000="h",1,0)))*$S1000*$U1000,0))</f>
        <v>0</v>
      </c>
      <c r="W1000" s="393"/>
      <c r="X1000" s="386"/>
      <c r="Y1000" s="394"/>
      <c r="Z1000" s="395"/>
      <c r="AA1000" s="611">
        <f>IFERROR($X1000*$Z1000/$Y1000/MAX(1,$H1000),0)</f>
        <v>0</v>
      </c>
      <c r="AB1000" s="393"/>
      <c r="AC1000" s="386"/>
      <c r="AD1000" s="394"/>
      <c r="AE1000" s="396"/>
      <c r="AF1000" s="611">
        <f>IFERROR($AC1000*$AE1000/$AD1000,0)</f>
        <v>0</v>
      </c>
      <c r="AG1000" s="612" cm="1">
        <f t="array" ref="AG1000">IF(($J1000+$V1000+$AF1000)=0,0,INDEX(Premises!$A$30:$F$30,1,$CH1000)/100)</f>
        <v>0</v>
      </c>
      <c r="AH1000" s="397"/>
      <c r="AI1000" s="398"/>
      <c r="AJ1000" s="399"/>
      <c r="AK1000" s="613">
        <f>IF(COUNTBLANK($AH1000:$AI1000),0,$AH1000*$AI1000*$AG1000)</f>
        <v>0</v>
      </c>
      <c r="AL1000" s="614">
        <f>($AK1000+$AJ1000*$AG1000*(1-$AH1000)+($J1000+$V1000+$AF1000)*$AG1000*(1-$AH1000))</f>
        <v>0</v>
      </c>
      <c r="AM1000" s="615" cm="1">
        <f t="array" ref="AM1000">IF($CI1000=0,0,IFERROR(INDEX(MHR[],$CI1000,MATCH($CA1000,MHR!$B$4:$AY$4,0)+11),0))</f>
        <v>0</v>
      </c>
      <c r="AN1000" s="616" cm="1">
        <f t="array" ref="AN1000">IF(($J1000+$V1000)=0,0,IFERROR(IF(INDEX(Premises!$A$41:$F$41,1,$CH1000)&lt;&gt;0,INDEX(Premises!$A$41:$F$41,1,$CH1000)/100,(IFERROR(($J1000/$I1000)*$AM1000,0)/($V1000+$J1000+$R1000+$AL1000))),0))</f>
        <v>0</v>
      </c>
      <c r="AO1000" s="617">
        <f>IF(($J1000+$V1000)=0,0,IF(IFERROR(($J1000+$R1000+$V1000+$AL1000)*$AN1000,0)&lt;&gt;IFERROR(($J1000/$I1000)*$AM1000,0),($J1000+$R1000+$V1000+$AL1000)*$AN1000,IFERROR(($J1000/$I1000)*$AM1000,0)))</f>
        <v>0</v>
      </c>
      <c r="AP1000" s="618">
        <f>$V1000+$J1000+$R1000+$AA1000+$AF1000+$AL1000+$AO1000</f>
        <v>0</v>
      </c>
      <c r="AQ1000" s="393"/>
      <c r="AR1000" s="392"/>
      <c r="AS1000" s="619" cm="1">
        <f t="array" ref="AS1000">IF($CJ1000=0,0,IFERROR(INDEX(MAT[Einheit],$CJ1000,1),0))</f>
        <v>0</v>
      </c>
      <c r="AT1000" s="620" cm="1">
        <f t="array" ref="AT1000">IF($CJ1000=0,0,IFERROR(INDEX(MAT[Preis],$CJ1000,1),0))</f>
        <v>0</v>
      </c>
      <c r="AU1000" s="621">
        <f>$AR1000*$AT1000</f>
        <v>0</v>
      </c>
      <c r="AV1000" s="622" cm="1">
        <f t="array" ref="AV1000">IF($AU1000&lt;=0,0,INDEX(Premises!$A$30:$F$30,1,$CH1000)/100)</f>
        <v>0</v>
      </c>
      <c r="AW1000" s="392"/>
      <c r="AX1000" s="614">
        <f>IF($AV1000=0,0,($AU1000+$AW1000)*$AV1000)</f>
        <v>0</v>
      </c>
      <c r="AY1000" s="623" cm="1">
        <f t="array" ref="AY1000">IF($AT1000&lt;=0,0,IFERROR(IF(INDEX(Premises!$A$42:$F$42,1,$CH1000)&lt;&gt;0,INDEX(Premises!$A$42:$F$42,1,$CH1000)/100,(INDEX(MAT[],$CJ1000,MATCH($CA1000,MAT!$B$4:$AE$4,0))/($AR1000*$CK1000*INDEX(Premises!$A$13:$F$13,1,$CH1000))+INDEX(MAT[],$CJ1000,MATCH($CA1000,MAT!$B$4:$AE$4,0)+7))/$AT1000),0))</f>
        <v>0</v>
      </c>
      <c r="AZ1000" s="614">
        <f>IF($AY1000=0,0,($AU1000+$AX1000)*$AY1000)</f>
        <v>0</v>
      </c>
      <c r="BA1000" s="618">
        <f>$AU1000+$AX1000+$AZ1000</f>
        <v>0</v>
      </c>
      <c r="BB1000" s="618">
        <f>$AP1000+$BA1000</f>
        <v>0</v>
      </c>
      <c r="BC1000" s="622" cm="1">
        <f t="array" ref="BC1000">IF($BB1000&lt;=0,0,IF(BC$2=-1,0,INDEX(Premises!$A$32:$F$32,1,$CH1000)/100))</f>
        <v>0</v>
      </c>
      <c r="BD1000" s="614">
        <f>IF($AP1000&lt;=0,0,($AP1000-$AA1000-$AL1000)*$BC1000)</f>
        <v>0</v>
      </c>
      <c r="BE1000" s="622" cm="1">
        <f t="array" ref="BE1000">IF($BB1000&lt;=0,0,IF(BE$2=-1,0,INDEX(Premises!$A$33:$F$33,1,$CH1000)/100))</f>
        <v>0</v>
      </c>
      <c r="BF1000" s="614">
        <f>IF($BA1000&lt;=0,0,$BA1000*$BE1000)</f>
        <v>0</v>
      </c>
      <c r="BG1000" s="622" cm="1">
        <f t="array" ref="BG1000">IF($BB1000&lt;=0,0,IF(BG$2=-1,0,INDEX(Premises!$A$31:$F$31,1,$CH1000)/100))</f>
        <v>0</v>
      </c>
      <c r="BH1000" s="614">
        <f>(($AP1000-$AA1000-$AL1000)+$BA1000)*$BG1000</f>
        <v>0</v>
      </c>
      <c r="BI1000" s="618">
        <f>$BB1000+$BD1000+$BF1000+$BH1000</f>
        <v>0</v>
      </c>
      <c r="BJ1000" s="622" cm="1">
        <f t="array" ref="BJ1000">IF($BB1000&lt;=0,0,IF(BJ$2=-1,0,INDEX(Premises!$A$35:$F$35,1,$CH1000)/100))</f>
        <v>0</v>
      </c>
      <c r="BK1000" s="614">
        <f>IF($AP1000&lt;=0,0,($AP1000-$AL1000-$AA1000)*$BJ1000)</f>
        <v>0</v>
      </c>
      <c r="BL1000" s="622" cm="1">
        <f t="array" ref="BL1000">IF($BB1000&lt;=0,0,IF(BL$2=-1,0,INDEX(Premises!$A$36:$F$36,1,$CH1000)/100))</f>
        <v>0</v>
      </c>
      <c r="BM1000" s="614">
        <f>IF($AU1000&lt;=0,0,($AR1000*$AT1000)*$BL1000)</f>
        <v>0</v>
      </c>
      <c r="BN1000" s="622" cm="1">
        <f t="array" ref="BN1000">IF($BB1000&lt;=0,0,IF(BN$2=-1,0,INDEX(Premises!$A$34:$F$34,1,$CH1000)/100))</f>
        <v>0</v>
      </c>
      <c r="BO1000" s="614">
        <f>(($AP1000-$AL1000-$AA1000)+($AR1000*$AT1000))*$BN1000</f>
        <v>0</v>
      </c>
      <c r="BP1000" s="622" cm="1">
        <f t="array" ref="BP1000">IF($BI1000=0,0,INDEX(Premises!$A$37:$F$37,1,$CH1000)/100)</f>
        <v>0</v>
      </c>
      <c r="BQ1000" s="392"/>
      <c r="BR1000" s="614">
        <f>($BI1000+$BK1000+$BM1000+$BO1000)*$BP1000+$BQ1000</f>
        <v>0</v>
      </c>
      <c r="BS1000" s="624">
        <f>BI1000+BK1000+BM1000+BO1000+BR1000</f>
        <v>0</v>
      </c>
      <c r="BT1000" s="624">
        <f>IF($BS1000=0,0,$CK1000*$BS1000)</f>
        <v>0</v>
      </c>
      <c r="BU1000" s="625">
        <f>IF($BT1000=0,0,MAX(1,$EB1000/$DP1000))</f>
        <v>0</v>
      </c>
      <c r="BV1000" s="1127"/>
      <c r="BW1000" s="401"/>
      <c r="BX1000" s="401"/>
      <c r="BY1000" s="402"/>
      <c r="BZ1000" s="946"/>
      <c r="CA1000" s="263" t="e" cm="1">
        <f t="array" ref="CA1000">IF($BZ1000&gt;0,VALUE(LEFT($BZ1000,IF(ISERROR(FIND("-",$BZ1000)),LEN($BZ1000),FIND("-",$BZ1000)-1))),INDEX($CA$1:$CA1000,MAX(1,$CD1000)))</f>
        <v>#N/A</v>
      </c>
      <c r="CB1000" s="263" cm="1">
        <f t="array" ref="CB1000">IF($BT1000=0,0,IF(LEN($BZ1000)-LEN(SUBSTITUTE($BZ1000,"-",""))&gt;1,
VALUE(MID($BZ1000,FIND("-",$BZ1000)+1,FIND("-",$BZ1000,FIND("-",$BZ1000)+1)-FIND("-",$BZ1000)-1)),IF($BZ1000&gt;0,0,INDEX($CB$1:$CB1000,MAX(1,$CD1000)))))</f>
        <v>0</v>
      </c>
      <c r="CC1000" s="263" cm="1">
        <f t="array" ref="CC1000">IF($BT1000=0,0,IF(NOT(ISERROR(FIND("-",BZ1000))),
VALUE(RIGHT($BZ1000,LEN($BZ1000)-IF(LEN($BZ1000)-LEN(SUBSTITUTE($BZ1000,"-",""))=1,FIND("-",$BZ1000),FIND("-",$BZ1000,FIND("-",$BZ1000)+1)))),
IF($BZ1000&gt;0,0,INDEX($CC$1:$CC1000,MAX(1,$CD1000)))))</f>
        <v>0</v>
      </c>
      <c r="CD1000" s="376" t="e">
        <f>MATCH(0,$CE$1:$CE1000,-1)</f>
        <v>#N/A</v>
      </c>
      <c r="CE1000" s="263"/>
      <c r="CF1000" s="377"/>
      <c r="CG1000" s="376" t="e" cm="1">
        <f t="array" ref="CG1000">INDEX($CG$1:$CG1000,$CD1000)</f>
        <v>#N/A</v>
      </c>
      <c r="CH1000" s="263" t="e">
        <f>MATCH($CA1000,Premises!$A$10:$F$10,0)</f>
        <v>#N/A</v>
      </c>
      <c r="CI1000" s="263">
        <f>IF(ISBLANK($E1000),0,IFERROR(MATCH($E1000,MHR[Bezeichnung],0),0))</f>
        <v>0</v>
      </c>
      <c r="CJ1000" s="377">
        <f>IF(ISBLANK($AQ1000),0,IFERROR(MATCH($AQ1000,MAT[Bezeichnung],0),0))</f>
        <v>0</v>
      </c>
      <c r="CK1000" s="263" t="e" cm="1">
        <f t="array" ref="CK1000">INDEX($D$1:$D1000,$CD1000)</f>
        <v>#N/A</v>
      </c>
      <c r="CL1000" s="263"/>
      <c r="CM1000" s="378"/>
      <c r="CN1000" s="379" cm="1">
        <f t="array" ref="CN1000">IF($CB1000=0,0,IF($CB1000=INDEX($CB$1:$CB1000,$CD1000),INDEX($CN$1:$CN1000,$CD1000),$CP1000))</f>
        <v>0</v>
      </c>
      <c r="CO1000" s="378"/>
      <c r="CP1000" s="379" cm="1">
        <f t="array" ref="CP1000">IF($CC1000=0,0,INDEX($CP$1:$CP1000,$CD1000))</f>
        <v>0</v>
      </c>
      <c r="CQ1000" s="380"/>
      <c r="CR1000" s="381"/>
      <c r="CS1000" s="381"/>
      <c r="CT1000" s="1132"/>
      <c r="CU1000" s="1129"/>
      <c r="CV1000" s="630" t="e">
        <f>$J1000*$CK1000</f>
        <v>#N/A</v>
      </c>
      <c r="CW1000" s="631" t="e">
        <f>$R1000*$CK1000</f>
        <v>#N/A</v>
      </c>
      <c r="CX1000" s="631" t="e">
        <f>$V1000*$CK1000</f>
        <v>#N/A</v>
      </c>
      <c r="CY1000" s="631" t="e">
        <f>$AA1000*$CK1000</f>
        <v>#N/A</v>
      </c>
      <c r="CZ1000" s="631" t="e">
        <f>$AF1000*$CK1000</f>
        <v>#N/A</v>
      </c>
      <c r="DA1000" s="631" t="e">
        <f>$AL1000*$CK1000</f>
        <v>#N/A</v>
      </c>
      <c r="DB1000" s="631" t="e">
        <f>$AO1000*$CK1000</f>
        <v>#N/A</v>
      </c>
      <c r="DC1000" s="632" t="e">
        <f>$AP1000*$CK1000</f>
        <v>#N/A</v>
      </c>
      <c r="DD1000" s="631" t="e">
        <f>$AU1000*$CK1000</f>
        <v>#N/A</v>
      </c>
      <c r="DE1000" s="631" t="e">
        <f>$AX1000*$CK1000</f>
        <v>#N/A</v>
      </c>
      <c r="DF1000" s="631" t="e">
        <f>$AZ1000*$CK1000</f>
        <v>#N/A</v>
      </c>
      <c r="DG1000" s="632" t="e">
        <f>$BA1000*$CK1000</f>
        <v>#N/A</v>
      </c>
      <c r="DH1000" s="632" t="e">
        <f>$BB1000*$CK1000</f>
        <v>#N/A</v>
      </c>
      <c r="DI1000" s="631" t="e">
        <f>$BD1000*$CK1000</f>
        <v>#N/A</v>
      </c>
      <c r="DJ1000" s="631" t="e">
        <f>$BF1000*$CK1000</f>
        <v>#N/A</v>
      </c>
      <c r="DK1000" s="631" t="e">
        <f>$BH1000*$CK1000</f>
        <v>#N/A</v>
      </c>
      <c r="DL1000" s="631" t="e">
        <f>$BK1000*$CK1000</f>
        <v>#N/A</v>
      </c>
      <c r="DM1000" s="631" t="e">
        <f>$BM1000*$CK1000</f>
        <v>#N/A</v>
      </c>
      <c r="DN1000" s="631" t="e">
        <f>$BO1000*$CK1000</f>
        <v>#N/A</v>
      </c>
      <c r="DO1000" s="631" t="e">
        <f>$BR1000*$CK1000</f>
        <v>#N/A</v>
      </c>
      <c r="DP1000" s="634" t="e">
        <f>$CK1000*($BB1000+$BD1000+$BF1000+$BH1000+$BK1000+$BM1000+$BO1000+$BR1000)</f>
        <v>#N/A</v>
      </c>
      <c r="DQ1000" s="929">
        <f>IF($CB1000=0,0,$DP1000*_xlfn.XLOOKUP($CB1000,Premises!$A$10:$F$10,Premises!$A$30:$F$30)/100)</f>
        <v>0</v>
      </c>
      <c r="DR1000" s="633">
        <f>IFERROR(SUM($DP1000:$DQ1000)*IF(INDEX(Premises!$A$42:$F$42,1,MATCH($CB1000,Premises!$A$10:$F$10,0))&gt;0,INDEX(Premises!$A$42:$F$42,1,MATCH($CB1000,Premises!$A$10:$F$10,0))%,$CN1000),0)</f>
        <v>0</v>
      </c>
      <c r="DS1000" s="633" cm="1">
        <f t="array" ref="DS1000">IF($CB1000=0,0,SUM($DP1000:$DR1000)*_xlfn.XLOOKUP($CB1000,Premises!$A$10:$F$10,IF(INDEX(Settings[],MATCH(3001,Settings[ID],0),2)="B",Premises!$A$33:$F$33,Premises!$A$31:$F$31))/100)</f>
        <v>0</v>
      </c>
      <c r="DT1000" s="633" cm="1">
        <f t="array" ref="DT1000">IF($CB1000=0,0,$DP1000*_xlfn.XLOOKUP($CB1000,Premises!$A$10:$F$10,IF(INDEX(Settings[],MATCH(3002,Settings[ID],0),2)="B",Premises!$A$36:$F$36,Premises!$A$34:$F$34))/100)</f>
        <v>0</v>
      </c>
      <c r="DU1000" s="633">
        <f>IF($CB1000=0,0,SUM($DP1000:$DT1000)*_xlfn.XLOOKUP($CB1000,Premises!$A$10:$F$10,Premises!$A$37:$F$37)/100)</f>
        <v>0</v>
      </c>
      <c r="DV1000" s="932" t="e">
        <f>SUM($DP1000:$DU1000)</f>
        <v>#N/A</v>
      </c>
      <c r="DW1000" s="929">
        <f>IF($CC1000=0,0,$DV1000*_xlfn.XLOOKUP($CC1000,Premises!$A$10:$F$10,Premises!$A$30:$F$30)/100)</f>
        <v>0</v>
      </c>
      <c r="DX1000" s="633">
        <f>IFERROR(SUM($DV1000:$DW1000)*IF(INDEX(Premises!$A$42:$F$42,1,MATCH($CC1000,Premises!$A$10:$F$10,0))&gt;0,INDEX(Premises!$A$42:$F$42,1,MATCH($CC1000,Premises!$A$10:$F$10,0))%,$CP1000),0)</f>
        <v>0</v>
      </c>
      <c r="DY1000" s="633" cm="1">
        <f t="array" ref="DY1000">IF($CC1000=0,0,SUM($DV1000:$DX1000)*_xlfn.XLOOKUP($CC1000,Premises!$A$10:$F$10,IF(INDEX(Settings[],MATCH(3001,Settings[ID],0),2)="B",Premises!$A$33:$F$33,Premises!$A$31:$F$31))/100)</f>
        <v>0</v>
      </c>
      <c r="DZ1000" s="633" cm="1">
        <f t="array" ref="DZ1000">IF($CC1000=0,0,$DV1000*_xlfn.XLOOKUP($CC1000,Premises!$A$10:$F$10,IF(INDEX(Settings[],MATCH(3002,Settings[ID],0),2)="B",Premises!$A$36:$F$36,Premises!$A$34:$F$34))/100)</f>
        <v>0</v>
      </c>
      <c r="EA1000" s="633">
        <f>IF($CC1000=0,0,SUM($DV1000:$DZ1000)*_xlfn.XLOOKUP($CC1000,Premises!$A$10:$F$10,Premises!$A$37:$F$37)/100)</f>
        <v>0</v>
      </c>
      <c r="EB1000" s="634" t="e">
        <f>SUM($DV1000:$EA1000)</f>
        <v>#N/A</v>
      </c>
      <c r="EC1000" s="783"/>
      <c r="ED1000" s="1082"/>
      <c r="EE1000" s="633"/>
      <c r="EF1000" s="1088"/>
      <c r="EG1000" s="1086"/>
      <c r="EH1000" s="1086"/>
      <c r="EI1000" s="1086"/>
      <c r="EJ1000" s="1086"/>
      <c r="EK1000" s="1086"/>
      <c r="EL1000" s="1086"/>
      <c r="EM1000" s="1088"/>
      <c r="EN1000" s="1086"/>
      <c r="EO1000" s="1086"/>
      <c r="EP1000" s="1086"/>
      <c r="EQ1000" s="1086"/>
      <c r="ER1000" s="1088"/>
      <c r="ES1000" s="1086"/>
      <c r="ET1000" s="1086"/>
      <c r="EU1000" s="1086"/>
      <c r="EV1000" s="1086"/>
      <c r="EW1000" s="1086"/>
      <c r="EX1000" s="1089"/>
      <c r="EY1000" s="2"/>
      <c r="EZ1000" s="2"/>
      <c r="FA1000" s="2"/>
      <c r="FB1000" s="2"/>
      <c r="FC1000" s="2"/>
      <c r="FD1000" s="2"/>
      <c r="FE1000" s="2"/>
      <c r="FF1000" s="2"/>
      <c r="FG1000" s="2"/>
      <c r="FH1000" s="2"/>
      <c r="FI1000" s="2"/>
      <c r="FJ1000" s="403"/>
      <c r="FK1000" s="404"/>
      <c r="FL1000" s="405"/>
      <c r="FM1000" s="1133"/>
    </row>
    <row r="1001" spans="1:169" s="13" customFormat="1" ht="12.75" customHeight="1">
      <c r="A1001" s="215" t="s">
        <v>240</v>
      </c>
      <c r="B1001" s="385"/>
      <c r="C1001" s="386"/>
      <c r="D1001" s="629"/>
      <c r="E1001" s="387"/>
      <c r="F1001" s="388"/>
      <c r="G1001" s="388"/>
      <c r="H1001" s="388"/>
      <c r="I1001" s="620" cm="1">
        <f t="array" ref="I1001">IF($CI1001=0,0,IFERROR(INDEX(MHR[],$CI1001,MATCH($CA1001,MHR!$B$4:$AY$4,0)),0))</f>
        <v>0</v>
      </c>
      <c r="J1001" s="617">
        <f>IF(COUNTBLANK($E1001:$H1001),0,IFERROR($F1001/$H1001/IF($G1001="s",3600,IF($G1001="min",60,IF($G1001="h",1,0)))*I1001,0))</f>
        <v>0</v>
      </c>
      <c r="K1001" s="389"/>
      <c r="L1001" s="390"/>
      <c r="M1001" s="849"/>
      <c r="N1001" s="390"/>
      <c r="O1001" s="388"/>
      <c r="P1001" s="628" cm="1">
        <f t="array" ref="P1001">IF($K1001=0,0,IFERROR(ROUNDUP(IF(ISNUMBER($K1001),$K1001,INDEX($D$1:$D1001,$CD1001)*INDEX(Premises!$A$13:$F$13,1,$CH1001)/IF(OR($K1001="T",$K1001="D"),250,IF($K1001="W",50,IF($K1001="M",12,IF(OR($K1001="HJ",$K1001="HY"),2,IF(OR($K1001="J",$K1001="Y"),1,0)))))),0),0))</f>
        <v>0</v>
      </c>
      <c r="Q1001" s="620" cm="1">
        <f t="array" ref="Q1001">IF($K1001=0,0,IFERROR(INDEX(Premises!$A$22:$F$22,1,$CH1001)*100/INDEX(Premises!$A$16:$F$16,1,$CH1001),0))</f>
        <v>0</v>
      </c>
      <c r="R1001" s="617">
        <f>IF($P1001=0,0,IFERROR(($L1001/60*($I1001+$Q1001*$M1001)+($N1001/60*($Q1001*$O1001)))/$P1001,0))</f>
        <v>0</v>
      </c>
      <c r="S1001" s="391"/>
      <c r="T1001" s="392"/>
      <c r="U1001" s="620" cm="1">
        <f t="array" ref="U1001">IF(COUNTBLANK($S1001:$T1001),0,
IF(AND(INDEX(MHR[Schichtmodell],$CI1001)&lt;&gt;0,INDEX(MHR[Schichtmodell],$CI1001)&lt;&gt;INDEX(Premises!$A$20:$F$20,1,$CH1001)),ExchangeRate*
IF(OR($T1001="M",$T1001="U"),IF(INDEX(MHR[Schichtmodell],$CI1001)=1,INDEX(LOC[M1S],INDEX(Premises!$A$18:$F$18,1,$CH1001+1)),IF(INDEX(MHR[Schichtmodell],$CI1001)=2,INDEX(LOC[M2S],INDEX(Premises!$A$18:$F$18,1,$CH1001+1),IF(INDEX(MHR[Schichtmodell],$CI1001)=3,INDEX(LOC[M3S],INDEX(Premises!$A$18:$F$18,1,$CH1001+1)),0)))),
IF(INDEX(MHR[Schichtmodell],$CI1001)=1,INDEX(LOC[F1S],INDEX(Premises!$A$18:$F$18,1,$CH1001+1)),IF(INDEX(MHR[Schichtmodell],$CI1001)=2,INDEX(LOC[F2S],INDEX(Premises!$A$18:$F$18,1,$CH1001+1)),IF(INDEX(MHR[Schichtmodell],$CI1001)=3,INDEX(LOC[F3S],INDEX(Premises!$A$18:$F$18,1,$CH1001+1)),0)))),
IF(OR($T1001="M",$T1001="U"),INDEX(Premises!$A$21:$F$21,1,$CH1001),
IF(OR($T1001="F",$T1001="S"),INDEX(Premises!$A$22:$F$22,1,$CH1001),0)))*100/INDEX(Premises!$A$16:$F$16,1,$CH1001))</f>
        <v>0</v>
      </c>
      <c r="V1001" s="614">
        <f>IF($U1001=0,0,IFERROR($F1001/$H1001/IF($G1001="s",3600,IF($G1001="min",60,IF($G1001="h",1,0)))*$S1001*$U1001,0))</f>
        <v>0</v>
      </c>
      <c r="W1001" s="393"/>
      <c r="X1001" s="386"/>
      <c r="Y1001" s="394"/>
      <c r="Z1001" s="395"/>
      <c r="AA1001" s="611">
        <f>IFERROR($X1001*$Z1001/$Y1001/MAX(1,$H1001),0)</f>
        <v>0</v>
      </c>
      <c r="AB1001" s="393"/>
      <c r="AC1001" s="386"/>
      <c r="AD1001" s="394"/>
      <c r="AE1001" s="396"/>
      <c r="AF1001" s="611">
        <f>IFERROR($AC1001*$AE1001/$AD1001,0)</f>
        <v>0</v>
      </c>
      <c r="AG1001" s="612" cm="1">
        <f t="array" ref="AG1001">IF(($J1001+$V1001+$AF1001)=0,0,INDEX(Premises!$A$30:$F$30,1,$CH1001)/100)</f>
        <v>0</v>
      </c>
      <c r="AH1001" s="397"/>
      <c r="AI1001" s="398"/>
      <c r="AJ1001" s="399"/>
      <c r="AK1001" s="613">
        <f>IF(COUNTBLANK($AH1001:$AI1001),0,$AH1001*$AI1001*$AG1001)</f>
        <v>0</v>
      </c>
      <c r="AL1001" s="614">
        <f>($AK1001+$AJ1001*$AG1001*(1-$AH1001)+($J1001+$V1001+$AF1001)*$AG1001*(1-$AH1001))</f>
        <v>0</v>
      </c>
      <c r="AM1001" s="615" cm="1">
        <f t="array" ref="AM1001">IF($CI1001=0,0,IFERROR(INDEX(MHR[],$CI1001,MATCH($CA1001,MHR!$B$4:$AY$4,0)+11),0))</f>
        <v>0</v>
      </c>
      <c r="AN1001" s="616" cm="1">
        <f t="array" ref="AN1001">IF(($J1001+$V1001)=0,0,IFERROR(IF(INDEX(Premises!$A$41:$F$41,1,$CH1001)&lt;&gt;0,INDEX(Premises!$A$41:$F$41,1,$CH1001)/100,(IFERROR(($J1001/$I1001)*$AM1001,0)/($V1001+$J1001+$R1001+$AL1001))),0))</f>
        <v>0</v>
      </c>
      <c r="AO1001" s="617">
        <f>IF(($J1001+$V1001)=0,0,IF(IFERROR(($J1001+$R1001+$V1001+$AL1001)*$AN1001,0)&lt;&gt;IFERROR(($J1001/$I1001)*$AM1001,0),($J1001+$R1001+$V1001+$AL1001)*$AN1001,IFERROR(($J1001/$I1001)*$AM1001,0)))</f>
        <v>0</v>
      </c>
      <c r="AP1001" s="618">
        <f>$V1001+$J1001+$R1001+$AA1001+$AF1001+$AL1001+$AO1001</f>
        <v>0</v>
      </c>
      <c r="AQ1001" s="393"/>
      <c r="AR1001" s="392"/>
      <c r="AS1001" s="619"/>
      <c r="AT1001" s="620"/>
      <c r="AU1001" s="621"/>
      <c r="AV1001" s="622"/>
      <c r="AW1001" s="392"/>
      <c r="AX1001" s="614"/>
      <c r="AY1001" s="623"/>
      <c r="AZ1001" s="614"/>
      <c r="BA1001" s="618"/>
      <c r="BB1001" s="618">
        <f>$AP1001+$BA1001</f>
        <v>0</v>
      </c>
      <c r="BC1001" s="622" cm="1">
        <f t="array" ref="BC1001">IF($BB1001&lt;=0,0,IF(BC$2=-1,0,INDEX(Premises!$A$32:$F$32,1,$CH1001)/100))</f>
        <v>0</v>
      </c>
      <c r="BD1001" s="614">
        <f>IF($AP1001&lt;=0,0,($AP1001-$AA1001-$AL1001)*$BC1001)</f>
        <v>0</v>
      </c>
      <c r="BE1001" s="622"/>
      <c r="BF1001" s="614"/>
      <c r="BG1001" s="622" cm="1">
        <f t="array" ref="BG1001">IF($BB1001&lt;=0,0,IF(BG$2=-1,0,INDEX(Premises!$A$31:$F$31,1,$CH1001)/100))</f>
        <v>0</v>
      </c>
      <c r="BH1001" s="614">
        <f>(($AP1001-$AA1001-$AL1001)+$BA1001)*$BG1001</f>
        <v>0</v>
      </c>
      <c r="BI1001" s="618">
        <f>$BB1001+$BD1001+$BF1001+$BH1001</f>
        <v>0</v>
      </c>
      <c r="BJ1001" s="622" cm="1">
        <f t="array" ref="BJ1001">IF($BB1001&lt;=0,0,IF(BJ$2=-1,0,INDEX(Premises!$A$35:$F$35,1,$CH1001)/100))</f>
        <v>0</v>
      </c>
      <c r="BK1001" s="614">
        <f>IF($AP1001&lt;=0,0,($AP1001-$AL1001-$AA1001)*$BJ1001)</f>
        <v>0</v>
      </c>
      <c r="BL1001" s="622"/>
      <c r="BM1001" s="614"/>
      <c r="BN1001" s="622" cm="1">
        <f t="array" ref="BN1001">IF($BB1001&lt;=0,0,IF(BN$2=-1,0,INDEX(Premises!$A$34:$F$34,1,$CH1001)/100))</f>
        <v>0</v>
      </c>
      <c r="BO1001" s="614">
        <f>(($AP1001-$AL1001-$AA1001)+($AR1001*$AT1001))*$BN1001</f>
        <v>0</v>
      </c>
      <c r="BP1001" s="622" cm="1">
        <f t="array" ref="BP1001">IF($BI1001=0,0,INDEX(Premises!$A$37:$F$37,1,$CH1001)/100)</f>
        <v>0</v>
      </c>
      <c r="BQ1001" s="392"/>
      <c r="BR1001" s="614">
        <f>($BI1001+$BK1001+$BM1001+$BO1001)*$BP1001+$BQ1001</f>
        <v>0</v>
      </c>
      <c r="BS1001" s="624">
        <f>BI1001+BK1001+BM1001+BO1001+BR1001</f>
        <v>0</v>
      </c>
      <c r="BT1001" s="624">
        <f>IF($BS1001=0,0,$CK1001*$BS1001)</f>
        <v>0</v>
      </c>
      <c r="BU1001" s="625">
        <f>IF($BT1001=0,0,MAX(1,$EB1001/$DP1001))</f>
        <v>0</v>
      </c>
      <c r="BV1001" s="1127"/>
      <c r="BW1001" s="401"/>
      <c r="BX1001" s="401"/>
      <c r="BY1001" s="402"/>
      <c r="BZ1001" s="946"/>
      <c r="CA1001" s="263" t="e" cm="1">
        <f t="array" ref="CA1001">IF($BZ1001&gt;0,VALUE(LEFT($BZ1001,IF(ISERROR(FIND("-",$BZ1001)),LEN($BZ1001),FIND("-",$BZ1001)-1))),INDEX($CA$1:$CA1001,MAX(1,$CD1001)))</f>
        <v>#N/A</v>
      </c>
      <c r="CB1001" s="263" cm="1">
        <f t="array" ref="CB1001">IF($BT1001=0,0,IF(LEN($BZ1001)-LEN(SUBSTITUTE($BZ1001,"-",""))&gt;1,
VALUE(MID($BZ1001,FIND("-",$BZ1001)+1,FIND("-",$BZ1001,FIND("-",$BZ1001)+1)-FIND("-",$BZ1001)-1)),IF($BZ1001&gt;0,0,INDEX($CB$1:$CB1001,MAX(1,$CD1001)))))</f>
        <v>0</v>
      </c>
      <c r="CC1001" s="263" cm="1">
        <f t="array" ref="CC1001">IF($BT1001=0,0,IF(NOT(ISERROR(FIND("-",BZ1001))),
VALUE(RIGHT($BZ1001,LEN($BZ1001)-IF(LEN($BZ1001)-LEN(SUBSTITUTE($BZ1001,"-",""))=1,FIND("-",$BZ1001),FIND("-",$BZ1001,FIND("-",$BZ1001)+1)))),
IF($BZ1001&gt;0,0,INDEX($CC$1:$CC1001,MAX(1,$CD1001)))))</f>
        <v>0</v>
      </c>
      <c r="CD1001" s="376" t="e">
        <f>MATCH(0,$CE$1:$CE1001,-1)</f>
        <v>#N/A</v>
      </c>
      <c r="CE1001" s="263"/>
      <c r="CF1001" s="377"/>
      <c r="CG1001" s="376" t="e" cm="1">
        <f t="array" ref="CG1001">INDEX($CG$1:$CG1001,$CD1001)</f>
        <v>#N/A</v>
      </c>
      <c r="CH1001" s="263" t="e">
        <f>MATCH($CA1001,Premises!$A$10:$F$10,0)</f>
        <v>#N/A</v>
      </c>
      <c r="CI1001" s="263">
        <f>IF(ISBLANK($E1001),0,IFERROR(MATCH($E1001,MHR[Bezeichnung],0),0))</f>
        <v>0</v>
      </c>
      <c r="CJ1001" s="377">
        <f>IF(ISBLANK($AQ1001),0,IFERROR(MATCH($AQ1001,MAT[Bezeichnung],0),0))</f>
        <v>0</v>
      </c>
      <c r="CK1001" s="263" t="e" cm="1">
        <f t="array" ref="CK1001">INDEX($D$1:$D1001,$CD1001)</f>
        <v>#N/A</v>
      </c>
      <c r="CL1001" s="263"/>
      <c r="CM1001" s="378"/>
      <c r="CN1001" s="379" cm="1">
        <f t="array" ref="CN1001">IF($CB1001=0,0,IF($CB1001=INDEX($CB$1:$CB1001,$CD1001),INDEX($CN$1:$CN1001,$CD1001),$CP1001))</f>
        <v>0</v>
      </c>
      <c r="CO1001" s="378"/>
      <c r="CP1001" s="379" cm="1">
        <f t="array" ref="CP1001">IF($CC1001=0,0,INDEX($CP$1:$CP1001,$CD1001))</f>
        <v>0</v>
      </c>
      <c r="CQ1001" s="380"/>
      <c r="CR1001" s="381"/>
      <c r="CS1001" s="381"/>
      <c r="CT1001" s="1132"/>
      <c r="CU1001" s="1129"/>
      <c r="CV1001" s="630" t="e">
        <f>$J1001*$CK1001</f>
        <v>#N/A</v>
      </c>
      <c r="CW1001" s="631" t="e">
        <f>$R1001*$CK1001</f>
        <v>#N/A</v>
      </c>
      <c r="CX1001" s="631" t="e">
        <f>$V1001*$CK1001</f>
        <v>#N/A</v>
      </c>
      <c r="CY1001" s="631" t="e">
        <f>$AA1001*$CK1001</f>
        <v>#N/A</v>
      </c>
      <c r="CZ1001" s="631" t="e">
        <f>$AF1001*$CK1001</f>
        <v>#N/A</v>
      </c>
      <c r="DA1001" s="631" t="e">
        <f>$AL1001*$CK1001</f>
        <v>#N/A</v>
      </c>
      <c r="DB1001" s="631" t="e">
        <f>$AO1001*$CK1001</f>
        <v>#N/A</v>
      </c>
      <c r="DC1001" s="632" t="e">
        <f>$AP1001*$CK1001</f>
        <v>#N/A</v>
      </c>
      <c r="DD1001" s="631"/>
      <c r="DE1001" s="631"/>
      <c r="DF1001" s="631"/>
      <c r="DG1001" s="632"/>
      <c r="DH1001" s="632" t="e">
        <f>$BB1001*$CK1001</f>
        <v>#N/A</v>
      </c>
      <c r="DI1001" s="631" t="e">
        <f>$BD1001*$CK1001</f>
        <v>#N/A</v>
      </c>
      <c r="DJ1001" s="631"/>
      <c r="DK1001" s="631" t="e">
        <f>$BH1001*$CK1001</f>
        <v>#N/A</v>
      </c>
      <c r="DL1001" s="631" t="e">
        <f>$BK1001*$CK1001</f>
        <v>#N/A</v>
      </c>
      <c r="DM1001" s="631"/>
      <c r="DN1001" s="631" t="e">
        <f>$BO1001*$CK1001</f>
        <v>#N/A</v>
      </c>
      <c r="DO1001" s="631" t="e">
        <f>$BR1001*$CK1001</f>
        <v>#N/A</v>
      </c>
      <c r="DP1001" s="634" t="e">
        <f>$CK1001*($BB1001+$BD1001+$BF1001+$BH1001+$BK1001+$BM1001+$BO1001+$BR1001)</f>
        <v>#N/A</v>
      </c>
      <c r="DQ1001" s="929">
        <f>IF($CB1001=0,0,$DP1001*_xlfn.XLOOKUP($CB1001,Premises!$A$10:$F$10,Premises!$A$30:$F$30)/100)</f>
        <v>0</v>
      </c>
      <c r="DR1001" s="633">
        <f>IFERROR(SUM($DP1001:$DQ1001)*IF(INDEX(Premises!$A$42:$F$42,1,MATCH($CB1001,Premises!$A$10:$F$10,0))&gt;0,INDEX(Premises!$A$42:$F$42,1,MATCH($CB1001,Premises!$A$10:$F$10,0))%,$CN1001),0)</f>
        <v>0</v>
      </c>
      <c r="DS1001" s="633" cm="1">
        <f t="array" ref="DS1001">IF($CB1001=0,0,SUM($DP1001:$DR1001)*_xlfn.XLOOKUP($CB1001,Premises!$A$10:$F$10,IF(INDEX(Settings[],MATCH(3001,Settings[ID],0),2)="B",Premises!$A$33:$F$33,Premises!$A$31:$F$31))/100)</f>
        <v>0</v>
      </c>
      <c r="DT1001" s="633" cm="1">
        <f t="array" ref="DT1001">IF($CB1001=0,0,$DP1001*_xlfn.XLOOKUP($CB1001,Premises!$A$10:$F$10,IF(INDEX(Settings[],MATCH(3002,Settings[ID],0),2)="B",Premises!$A$36:$F$36,Premises!$A$34:$F$34))/100)</f>
        <v>0</v>
      </c>
      <c r="DU1001" s="633">
        <f>IF($CB1001=0,0,SUM($DP1001:$DT1001)*_xlfn.XLOOKUP($CB1001,Premises!$A$10:$F$10,Premises!$A$37:$F$37)/100)</f>
        <v>0</v>
      </c>
      <c r="DV1001" s="932" t="e">
        <f>SUM($DP1001:$DU1001)</f>
        <v>#N/A</v>
      </c>
      <c r="DW1001" s="929">
        <f>IF($CC1001=0,0,$DV1001*_xlfn.XLOOKUP($CC1001,Premises!$A$10:$F$10,Premises!$A$30:$F$30)/100)</f>
        <v>0</v>
      </c>
      <c r="DX1001" s="633">
        <f>IFERROR(SUM($DV1001:$DW1001)*IF(INDEX(Premises!$A$42:$F$42,1,MATCH($CC1001,Premises!$A$10:$F$10,0))&gt;0,INDEX(Premises!$A$42:$F$42,1,MATCH($CC1001,Premises!$A$10:$F$10,0))%,$CP1001),0)</f>
        <v>0</v>
      </c>
      <c r="DY1001" s="633" cm="1">
        <f t="array" ref="DY1001">IF($CC1001=0,0,SUM($DV1001:$DX1001)*_xlfn.XLOOKUP($CC1001,Premises!$A$10:$F$10,IF(INDEX(Settings[],MATCH(3001,Settings[ID],0),2)="B",Premises!$A$33:$F$33,Premises!$A$31:$F$31))/100)</f>
        <v>0</v>
      </c>
      <c r="DZ1001" s="633" cm="1">
        <f t="array" ref="DZ1001">IF($CC1001=0,0,$DV1001*_xlfn.XLOOKUP($CC1001,Premises!$A$10:$F$10,IF(INDEX(Settings[],MATCH(3002,Settings[ID],0),2)="B",Premises!$A$36:$F$36,Premises!$A$34:$F$34))/100)</f>
        <v>0</v>
      </c>
      <c r="EA1001" s="633">
        <f>IF($CC1001=0,0,SUM($DV1001:$DZ1001)*_xlfn.XLOOKUP($CC1001,Premises!$A$10:$F$10,Premises!$A$37:$F$37)/100)</f>
        <v>0</v>
      </c>
      <c r="EB1001" s="634" t="e">
        <f>SUM($DV1001:$EA1001)</f>
        <v>#N/A</v>
      </c>
      <c r="EC1001" s="783"/>
      <c r="ED1001" s="1082"/>
      <c r="EE1001" s="633"/>
      <c r="EF1001" s="1088"/>
      <c r="EG1001" s="1086"/>
      <c r="EH1001" s="1086"/>
      <c r="EI1001" s="1086"/>
      <c r="EJ1001" s="1086"/>
      <c r="EK1001" s="1086"/>
      <c r="EL1001" s="1086"/>
      <c r="EM1001" s="1088"/>
      <c r="EN1001" s="1086"/>
      <c r="EO1001" s="1086"/>
      <c r="EP1001" s="1086"/>
      <c r="EQ1001" s="1086"/>
      <c r="ER1001" s="1088"/>
      <c r="ES1001" s="1086"/>
      <c r="ET1001" s="1086"/>
      <c r="EU1001" s="1086"/>
      <c r="EV1001" s="1086"/>
      <c r="EW1001" s="1086"/>
      <c r="EX1001" s="1089"/>
      <c r="EY1001" s="2"/>
      <c r="EZ1001" s="2"/>
      <c r="FA1001" s="2"/>
      <c r="FB1001" s="2"/>
      <c r="FC1001" s="2"/>
      <c r="FD1001" s="2"/>
      <c r="FE1001" s="2"/>
      <c r="FF1001" s="2"/>
      <c r="FG1001" s="2"/>
      <c r="FH1001" s="2"/>
      <c r="FI1001" s="2"/>
      <c r="FJ1001" s="403"/>
      <c r="FK1001" s="404"/>
      <c r="FL1001" s="405"/>
      <c r="FM1001" s="1133"/>
    </row>
    <row r="1002" spans="1:169" s="13" customFormat="1" ht="12.75" customHeight="1">
      <c r="A1002" s="215" t="s">
        <v>49</v>
      </c>
      <c r="B1002" s="385"/>
      <c r="C1002" s="386"/>
      <c r="D1002" s="629"/>
      <c r="E1002" s="387"/>
      <c r="F1002" s="388"/>
      <c r="G1002" s="388"/>
      <c r="H1002" s="388"/>
      <c r="I1002" s="620"/>
      <c r="J1002" s="617"/>
      <c r="K1002" s="389"/>
      <c r="L1002" s="390"/>
      <c r="M1002" s="849"/>
      <c r="N1002" s="390"/>
      <c r="O1002" s="388"/>
      <c r="P1002" s="628"/>
      <c r="Q1002" s="620"/>
      <c r="R1002" s="617"/>
      <c r="S1002" s="391"/>
      <c r="T1002" s="392"/>
      <c r="U1002" s="620"/>
      <c r="V1002" s="614"/>
      <c r="W1002" s="393"/>
      <c r="X1002" s="386"/>
      <c r="Y1002" s="394"/>
      <c r="Z1002" s="395"/>
      <c r="AA1002" s="611"/>
      <c r="AB1002" s="393"/>
      <c r="AC1002" s="386"/>
      <c r="AD1002" s="394"/>
      <c r="AE1002" s="396"/>
      <c r="AF1002" s="611"/>
      <c r="AG1002" s="612"/>
      <c r="AH1002" s="397"/>
      <c r="AI1002" s="398"/>
      <c r="AJ1002" s="399"/>
      <c r="AK1002" s="613"/>
      <c r="AL1002" s="614"/>
      <c r="AM1002" s="615"/>
      <c r="AN1002" s="616"/>
      <c r="AO1002" s="617"/>
      <c r="AP1002" s="618"/>
      <c r="AQ1002" s="393"/>
      <c r="AR1002" s="392"/>
      <c r="AS1002" s="619" cm="1">
        <f t="array" ref="AS1002">IF($CJ1002=0,0,IFERROR(INDEX(MAT[Einheit],$CJ1002,1),0))</f>
        <v>0</v>
      </c>
      <c r="AT1002" s="620" cm="1">
        <f t="array" ref="AT1002">IF($CJ1002=0,0,IFERROR(INDEX(MAT[Preis],$CJ1002,1),0))</f>
        <v>0</v>
      </c>
      <c r="AU1002" s="621">
        <f>$AR1002*$AT1002</f>
        <v>0</v>
      </c>
      <c r="AV1002" s="622" cm="1">
        <f t="array" ref="AV1002">IF($AU1002&lt;=0,0,INDEX(Premises!$A$30:$F$30,1,$CH1002)/100)</f>
        <v>0</v>
      </c>
      <c r="AW1002" s="392"/>
      <c r="AX1002" s="614">
        <f>IF($AV1002=0,0,($AU1002+$AW1002)*$AV1002)</f>
        <v>0</v>
      </c>
      <c r="AY1002" s="623" cm="1">
        <f t="array" ref="AY1002">IF($AT1002&lt;=0,0,IFERROR(IF(INDEX(Premises!$A$42:$F$42,1,$CH1002)&lt;&gt;0,INDEX(Premises!$A$42:$F$42,1,$CH1002)/100,(INDEX(MAT[],$CJ1002,MATCH($CA1002,MAT!$B$4:$AE$4,0))/($AR1002*$CK1002*INDEX(Premises!$A$13:$F$13,1,$CH1002))+INDEX(MAT[],$CJ1002,MATCH($CA1002,MAT!$B$4:$AE$4,0)+7))/$AT1002),0))</f>
        <v>0</v>
      </c>
      <c r="AZ1002" s="614">
        <f>IF($AY1002=0,0,($AU1002+$AX1002)*$AY1002)</f>
        <v>0</v>
      </c>
      <c r="BA1002" s="618">
        <f>$AU1002+$AX1002+$AZ1002</f>
        <v>0</v>
      </c>
      <c r="BB1002" s="618">
        <f>$AP1002+$BA1002</f>
        <v>0</v>
      </c>
      <c r="BC1002" s="622"/>
      <c r="BD1002" s="614"/>
      <c r="BE1002" s="622" cm="1">
        <f t="array" ref="BE1002">IF($BB1002&lt;=0,0,IF(BE$2=-1,0,INDEX(Premises!$A$33:$F$33,1,$CH1002)/100))</f>
        <v>0</v>
      </c>
      <c r="BF1002" s="614">
        <f>IF($BA1002&lt;=0,0,$BA1002*$BE1002)</f>
        <v>0</v>
      </c>
      <c r="BG1002" s="622" cm="1">
        <f t="array" ref="BG1002">IF($BB1002&lt;=0,0,IF(BG$2=-1,0,INDEX(Premises!$A$31:$F$31,1,$CH1002)/100))</f>
        <v>0</v>
      </c>
      <c r="BH1002" s="614">
        <f>(($AP1002-$AA1002-$AL1002)+$BA1002)*$BG1002</f>
        <v>0</v>
      </c>
      <c r="BI1002" s="618">
        <f>$BB1002+$BD1002+$BF1002+$BH1002</f>
        <v>0</v>
      </c>
      <c r="BJ1002" s="622"/>
      <c r="BK1002" s="614"/>
      <c r="BL1002" s="622" cm="1">
        <f t="array" ref="BL1002">IF($BB1002&lt;=0,0,IF(BL$2=-1,0,INDEX(Premises!$A$36:$F$36,1,$CH1002)/100))</f>
        <v>0</v>
      </c>
      <c r="BM1002" s="614">
        <f>IF($AU1002&lt;=0,0,($AR1002*$AT1002)*$BL1002)</f>
        <v>0</v>
      </c>
      <c r="BN1002" s="622" cm="1">
        <f t="array" ref="BN1002">IF($BB1002&lt;=0,0,IF(BN$2=-1,0,INDEX(Premises!$A$34:$F$34,1,$CH1002)/100))</f>
        <v>0</v>
      </c>
      <c r="BO1002" s="614">
        <f>(($AP1002-$AL1002-$AA1002)+($AR1002*$AT1002))*$BN1002</f>
        <v>0</v>
      </c>
      <c r="BP1002" s="622" cm="1">
        <f t="array" ref="BP1002">IF($BI1002=0,0,INDEX(Premises!$A$37:$F$37,1,$CH1002)/100)</f>
        <v>0</v>
      </c>
      <c r="BQ1002" s="392"/>
      <c r="BR1002" s="614">
        <f>($BI1002+$BK1002+$BM1002+$BO1002)*$BP1002+$BQ1002</f>
        <v>0</v>
      </c>
      <c r="BS1002" s="624">
        <f>BI1002+BK1002+BM1002+BO1002+BR1002</f>
        <v>0</v>
      </c>
      <c r="BT1002" s="624">
        <f>IF($BS1002=0,0,$CK1002*$BS1002)</f>
        <v>0</v>
      </c>
      <c r="BU1002" s="625">
        <f>IF($BT1002=0,0,MAX(1,$EB1002/$DP1002))</f>
        <v>0</v>
      </c>
      <c r="BV1002" s="1127"/>
      <c r="BW1002" s="401"/>
      <c r="BX1002" s="401"/>
      <c r="BY1002" s="402"/>
      <c r="BZ1002" s="946"/>
      <c r="CA1002" s="263" t="e" cm="1">
        <f t="array" ref="CA1002">IF($BZ1002&gt;0,VALUE(LEFT($BZ1002,IF(ISERROR(FIND("-",$BZ1002)),LEN($BZ1002),FIND("-",$BZ1002)-1))),INDEX($CA$1:$CA1002,MAX(1,$CD1002)))</f>
        <v>#N/A</v>
      </c>
      <c r="CB1002" s="263" cm="1">
        <f t="array" ref="CB1002">IF($BT1002=0,0,IF(LEN($BZ1002)-LEN(SUBSTITUTE($BZ1002,"-",""))&gt;1,
VALUE(MID($BZ1002,FIND("-",$BZ1002)+1,FIND("-",$BZ1002,FIND("-",$BZ1002)+1)-FIND("-",$BZ1002)-1)),IF($BZ1002&gt;0,0,INDEX($CB$1:$CB1002,MAX(1,$CD1002)))))</f>
        <v>0</v>
      </c>
      <c r="CC1002" s="263" cm="1">
        <f t="array" ref="CC1002">IF($BT1002=0,0,IF(NOT(ISERROR(FIND("-",BZ1002))),
VALUE(RIGHT($BZ1002,LEN($BZ1002)-IF(LEN($BZ1002)-LEN(SUBSTITUTE($BZ1002,"-",""))=1,FIND("-",$BZ1002),FIND("-",$BZ1002,FIND("-",$BZ1002)+1)))),
IF($BZ1002&gt;0,0,INDEX($CC$1:$CC1002,MAX(1,$CD1002)))))</f>
        <v>0</v>
      </c>
      <c r="CD1002" s="376" t="e">
        <f>MATCH(0,$CE$1:$CE1002,-1)</f>
        <v>#N/A</v>
      </c>
      <c r="CE1002" s="263"/>
      <c r="CF1002" s="377"/>
      <c r="CG1002" s="376" t="e" cm="1">
        <f t="array" ref="CG1002">INDEX($CG$1:$CG1002,$CD1002)</f>
        <v>#N/A</v>
      </c>
      <c r="CH1002" s="263" t="e">
        <f>MATCH($CA1002,Premises!$A$10:$F$10,0)</f>
        <v>#N/A</v>
      </c>
      <c r="CI1002" s="263">
        <f>IF(ISBLANK($E1002),0,IFERROR(MATCH($E1002,MHR[Bezeichnung],0),0))</f>
        <v>0</v>
      </c>
      <c r="CJ1002" s="377">
        <f>IF(ISBLANK($AQ1002),0,IFERROR(MATCH($AQ1002,MAT[Bezeichnung],0),0))</f>
        <v>0</v>
      </c>
      <c r="CK1002" s="263" t="e" cm="1">
        <f t="array" ref="CK1002">INDEX($D$1:$D1002,$CD1002)</f>
        <v>#N/A</v>
      </c>
      <c r="CL1002" s="263"/>
      <c r="CM1002" s="378"/>
      <c r="CN1002" s="379" cm="1">
        <f t="array" ref="CN1002">IF($CB1002=0,0,IF($CB1002=INDEX($CB$1:$CB1002,$CD1002),INDEX($CN$1:$CN1002,$CD1002),$CP1002))</f>
        <v>0</v>
      </c>
      <c r="CO1002" s="378"/>
      <c r="CP1002" s="379" cm="1">
        <f t="array" ref="CP1002">IF($CC1002=0,0,INDEX($CP$1:$CP1002,$CD1002))</f>
        <v>0</v>
      </c>
      <c r="CQ1002" s="380"/>
      <c r="CR1002" s="381"/>
      <c r="CS1002" s="381"/>
      <c r="CT1002" s="1132"/>
      <c r="CU1002" s="1129"/>
      <c r="CV1002" s="630"/>
      <c r="CW1002" s="631"/>
      <c r="CX1002" s="631"/>
      <c r="CY1002" s="631"/>
      <c r="CZ1002" s="631"/>
      <c r="DA1002" s="631"/>
      <c r="DB1002" s="631"/>
      <c r="DC1002" s="632"/>
      <c r="DD1002" s="631" t="e">
        <f>$AU1002*$CK1002</f>
        <v>#N/A</v>
      </c>
      <c r="DE1002" s="631" t="e">
        <f>$AX1002*$CK1002</f>
        <v>#N/A</v>
      </c>
      <c r="DF1002" s="631" t="e">
        <f>$AZ1002*$CK1002</f>
        <v>#N/A</v>
      </c>
      <c r="DG1002" s="632" t="e">
        <f>$BA1002*$CK1002</f>
        <v>#N/A</v>
      </c>
      <c r="DH1002" s="632" t="e">
        <f>$BB1002*$CK1002</f>
        <v>#N/A</v>
      </c>
      <c r="DI1002" s="631"/>
      <c r="DJ1002" s="631" t="e">
        <f>$BF1002*$CK1002</f>
        <v>#N/A</v>
      </c>
      <c r="DK1002" s="631" t="e">
        <f>$BH1002*$CK1002</f>
        <v>#N/A</v>
      </c>
      <c r="DL1002" s="631"/>
      <c r="DM1002" s="631" t="e">
        <f>$BM1002*$CK1002</f>
        <v>#N/A</v>
      </c>
      <c r="DN1002" s="631" t="e">
        <f>$BO1002*$CK1002</f>
        <v>#N/A</v>
      </c>
      <c r="DO1002" s="631" t="e">
        <f>$BR1002*$CK1002</f>
        <v>#N/A</v>
      </c>
      <c r="DP1002" s="634" t="e">
        <f>$CK1002*($BB1002+$BD1002+$BF1002+$BH1002+$BK1002+$BM1002+$BO1002+$BR1002)</f>
        <v>#N/A</v>
      </c>
      <c r="DQ1002" s="929">
        <f>IF($CB1002=0,0,$DP1002*_xlfn.XLOOKUP($CB1002,Premises!$A$10:$F$10,Premises!$A$30:$F$30)/100)</f>
        <v>0</v>
      </c>
      <c r="DR1002" s="633">
        <f>IFERROR(SUM($DP1002:$DQ1002)*IF(INDEX(Premises!$A$42:$F$42,1,MATCH($CB1002,Premises!$A$10:$F$10,0))&gt;0,INDEX(Premises!$A$42:$F$42,1,MATCH($CB1002,Premises!$A$10:$F$10,0))%,$CN1002),0)</f>
        <v>0</v>
      </c>
      <c r="DS1002" s="633" cm="1">
        <f t="array" ref="DS1002">IF($CB1002=0,0,SUM($DP1002:$DR1002)*_xlfn.XLOOKUP($CB1002,Premises!$A$10:$F$10,IF(INDEX(Settings[],MATCH(3001,Settings[ID],0),2)="B",Premises!$A$33:$F$33,Premises!$A$31:$F$31))/100)</f>
        <v>0</v>
      </c>
      <c r="DT1002" s="633" cm="1">
        <f t="array" ref="DT1002">IF($CB1002=0,0,$DP1002*_xlfn.XLOOKUP($CB1002,Premises!$A$10:$F$10,IF(INDEX(Settings[],MATCH(3002,Settings[ID],0),2)="B",Premises!$A$36:$F$36,Premises!$A$34:$F$34))/100)</f>
        <v>0</v>
      </c>
      <c r="DU1002" s="633">
        <f>IF($CB1002=0,0,SUM($DP1002:$DT1002)*_xlfn.XLOOKUP($CB1002,Premises!$A$10:$F$10,Premises!$A$37:$F$37)/100)</f>
        <v>0</v>
      </c>
      <c r="DV1002" s="932" t="e">
        <f>SUM($DP1002:$DU1002)</f>
        <v>#N/A</v>
      </c>
      <c r="DW1002" s="929">
        <f>IF($CC1002=0,0,$DV1002*_xlfn.XLOOKUP($CC1002,Premises!$A$10:$F$10,Premises!$A$30:$F$30)/100)</f>
        <v>0</v>
      </c>
      <c r="DX1002" s="633">
        <f>IFERROR(SUM($DV1002:$DW1002)*IF(INDEX(Premises!$A$42:$F$42,1,MATCH($CC1002,Premises!$A$10:$F$10,0))&gt;0,INDEX(Premises!$A$42:$F$42,1,MATCH($CC1002,Premises!$A$10:$F$10,0))%,$CP1002),0)</f>
        <v>0</v>
      </c>
      <c r="DY1002" s="633" cm="1">
        <f t="array" ref="DY1002">IF($CC1002=0,0,SUM($DV1002:$DX1002)*_xlfn.XLOOKUP($CC1002,Premises!$A$10:$F$10,IF(INDEX(Settings[],MATCH(3001,Settings[ID],0),2)="B",Premises!$A$33:$F$33,Premises!$A$31:$F$31))/100)</f>
        <v>0</v>
      </c>
      <c r="DZ1002" s="633" cm="1">
        <f t="array" ref="DZ1002">IF($CC1002=0,0,$DV1002*_xlfn.XLOOKUP($CC1002,Premises!$A$10:$F$10,IF(INDEX(Settings[],MATCH(3002,Settings[ID],0),2)="B",Premises!$A$36:$F$36,Premises!$A$34:$F$34))/100)</f>
        <v>0</v>
      </c>
      <c r="EA1002" s="633">
        <f>IF($CC1002=0,0,SUM($DV1002:$DZ1002)*_xlfn.XLOOKUP($CC1002,Premises!$A$10:$F$10,Premises!$A$37:$F$37)/100)</f>
        <v>0</v>
      </c>
      <c r="EB1002" s="634" t="e">
        <f>SUM($DV1002:$EA1002)</f>
        <v>#N/A</v>
      </c>
      <c r="EC1002" s="783"/>
      <c r="ED1002" s="1082"/>
      <c r="EE1002" s="633"/>
      <c r="EF1002" s="1088"/>
      <c r="EG1002" s="1086"/>
      <c r="EH1002" s="1086"/>
      <c r="EI1002" s="1086"/>
      <c r="EJ1002" s="1086"/>
      <c r="EK1002" s="1086"/>
      <c r="EL1002" s="1086"/>
      <c r="EM1002" s="1088"/>
      <c r="EN1002" s="1086"/>
      <c r="EO1002" s="1086"/>
      <c r="EP1002" s="1086"/>
      <c r="EQ1002" s="1086"/>
      <c r="ER1002" s="1088"/>
      <c r="ES1002" s="1086"/>
      <c r="ET1002" s="1086"/>
      <c r="EU1002" s="1086"/>
      <c r="EV1002" s="1086"/>
      <c r="EW1002" s="1086"/>
      <c r="EX1002" s="1089"/>
      <c r="EY1002" s="2"/>
      <c r="EZ1002" s="2"/>
      <c r="FA1002" s="2"/>
      <c r="FB1002" s="2"/>
      <c r="FC1002" s="2"/>
      <c r="FD1002" s="2"/>
      <c r="FE1002" s="2"/>
      <c r="FF1002" s="2"/>
      <c r="FG1002" s="2"/>
      <c r="FH1002" s="2"/>
      <c r="FI1002" s="2"/>
      <c r="FJ1002" s="403"/>
      <c r="FK1002" s="404"/>
      <c r="FL1002" s="405"/>
      <c r="FM1002" s="1133"/>
    </row>
    <row r="1003" spans="1:169">
      <c r="EC1003" s="783"/>
    </row>
    <row r="1004" spans="1:169">
      <c r="EC1004" s="783"/>
    </row>
    <row r="1005" spans="1:169">
      <c r="EC1005" s="783"/>
    </row>
    <row r="1006" spans="1:169">
      <c r="EC1006" s="783"/>
    </row>
    <row r="1007" spans="1:169">
      <c r="EC1007" s="783"/>
    </row>
    <row r="1008" spans="1:169">
      <c r="EC1008" s="783"/>
    </row>
    <row r="1009" spans="133:133">
      <c r="EC1009" s="783"/>
    </row>
    <row r="1010" spans="133:133">
      <c r="EC1010" s="783"/>
    </row>
  </sheetData>
  <mergeCells count="16">
    <mergeCell ref="FJ1:FL1"/>
    <mergeCell ref="G9:G10"/>
    <mergeCell ref="H9:K9"/>
    <mergeCell ref="M9:M10"/>
    <mergeCell ref="N9:P9"/>
    <mergeCell ref="BC1:BH1"/>
    <mergeCell ref="BJ1:BO1"/>
    <mergeCell ref="R9:R10"/>
    <mergeCell ref="L9:L10"/>
    <mergeCell ref="Q9:Q10"/>
    <mergeCell ref="AY1:AZ1"/>
    <mergeCell ref="B9:B10"/>
    <mergeCell ref="C9:C10"/>
    <mergeCell ref="D9:D10"/>
    <mergeCell ref="E9:E10"/>
    <mergeCell ref="F9:F10"/>
  </mergeCells>
  <conditionalFormatting sqref="BX2">
    <cfRule type="cellIs" dxfId="705" priority="2" operator="equal">
      <formula>0</formula>
    </cfRule>
  </conditionalFormatting>
  <conditionalFormatting sqref="BX998">
    <cfRule type="cellIs" dxfId="704" priority="1" operator="equal">
      <formula>0</formula>
    </cfRule>
  </conditionalFormatting>
  <dataValidations count="13">
    <dataValidation type="custom" allowBlank="1" showDropDown="1" showInputMessage="1" showErrorMessage="1" sqref="D3:D8 D999:D1002" xr:uid="{1477F580-24AD-4B46-A641-689B3F4F915F}">
      <formula1>"&gt;1000000"</formula1>
    </dataValidation>
    <dataValidation type="list" allowBlank="1" showInputMessage="1" showErrorMessage="1" sqref="E3:E8 E999:E1002" xr:uid="{B9653B31-9F94-420E-88B3-E8A7C5BB1768}">
      <formula1>MHR_Dropdown</formula1>
    </dataValidation>
    <dataValidation type="list" allowBlank="1" showInputMessage="1" sqref="AQ3:AQ7 E11:E19 AQ999:AQ1002" xr:uid="{2CF67F01-0C66-4D47-8AFA-F9085C7AA6D8}">
      <formula1>MAT_Dropdown</formula1>
    </dataValidation>
    <dataValidation type="list" allowBlank="1" showInputMessage="1" showErrorMessage="1" sqref="G3:G8 G999:G1002" xr:uid="{04ADFCD1-F612-4FE7-A6AA-F584EB7ECF83}">
      <formula1>"s,min,h"</formula1>
    </dataValidation>
    <dataValidation type="list" allowBlank="1" showInputMessage="1" showErrorMessage="1" sqref="FL2:FL7" xr:uid="{027287E2-C20C-42DC-82B3-39337A980C1A}">
      <formula1>Cluster3_Dropdown</formula1>
    </dataValidation>
    <dataValidation type="list" allowBlank="1" showInputMessage="1" showErrorMessage="1" sqref="FK2:FK7" xr:uid="{6DA2791B-5725-4B1B-B248-CAC9BED6A578}">
      <formula1>Cluster2_Dropdown</formula1>
    </dataValidation>
    <dataValidation type="list" allowBlank="1" showInputMessage="1" showErrorMessage="1" sqref="FJ2:FJ7" xr:uid="{46A5B51E-ED5B-4713-AE5C-5014145B8C6E}">
      <formula1>Cluster1_Dropdown</formula1>
    </dataValidation>
    <dataValidation type="whole" operator="greaterThan" allowBlank="1" showInputMessage="1" showErrorMessage="1" sqref="C12:C19" xr:uid="{EB7478F6-1BA3-42BD-8264-1E8F4F2F8B0C}">
      <formula1>1</formula1>
    </dataValidation>
    <dataValidation type="whole" operator="equal" allowBlank="1" showInputMessage="1" showErrorMessage="1" sqref="C11" xr:uid="{F881BEA9-765C-43C3-8B1D-57880AEDDA29}">
      <formula1>1</formula1>
    </dataValidation>
    <dataValidation type="list" allowBlank="1" showInputMessage="1" sqref="FJ998:FJ1002" xr:uid="{86129B36-F022-49E7-B403-A45D676DDB6A}">
      <formula1>Cluster1_Dropdown</formula1>
    </dataValidation>
    <dataValidation type="list" allowBlank="1" showInputMessage="1" sqref="FK998:FK1002" xr:uid="{49397EA5-769D-4624-8E99-F3CB6EE915F3}">
      <formula1>Cluster2_Dropdown</formula1>
    </dataValidation>
    <dataValidation type="list" allowBlank="1" showInputMessage="1" sqref="FL998:FL1002" xr:uid="{312E5B00-6B09-474C-BC61-AECE6DB55942}">
      <formula1>Cluster3_Dropdown</formula1>
    </dataValidation>
    <dataValidation type="list" allowBlank="1" showInputMessage="1" sqref="ER2:ER7 ER998:ER1002" xr:uid="{DD5F459F-59F2-4B31-A6EE-1211ADB12EEF}">
      <formula1>CO2Transportarten</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E68CCA7-EB3E-4156-8863-0031AF9EAE5A}">
          <x14:formula1>
            <xm:f>Translation!$E$8:$E$9</xm:f>
          </x14:formula1>
          <xm:sqref>T3:T7 T999:T1002</xm:sqref>
        </x14:dataValidation>
        <x14:dataValidation type="list" allowBlank="1" showInputMessage="1" xr:uid="{EAA4FB1C-7618-46C2-86DD-4FADE505EEE0}">
          <x14:formula1>
            <xm:f>Translation!$E$3:$E$7</xm:f>
          </x14:formula1>
          <xm:sqref>K3:K8 K999:K1002</xm:sqref>
        </x14:dataValidation>
        <x14:dataValidation type="whole" allowBlank="1" showInputMessage="1" xr:uid="{DB394C48-3D35-47E8-8A4A-DE5A0171DB84}">
          <x14:formula1>
            <xm:f>1</xm:f>
          </x14:formula1>
          <x14:formula2>
            <xm:f>COUNT(Premises!$10:$10)</xm:f>
          </x14:formula2>
          <xm:sqref>CA2:CM7 CO998:CO1002 ES2:FI7 CO2:CO7 CA998:CM1002 ED2:EQ7 ES998:FI1002 ED998:EQ1002 CT2:EB7 FM1:FM7 CA1:CT1 FM998:FM1002 CT998:EB1002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CB17-A985-4354-8CDC-50D85EA32F05}">
  <sheetPr codeName="TabTemp">
    <tabColor theme="9"/>
    <outlinePr summaryBelow="0" summaryRight="0"/>
  </sheetPr>
  <dimension ref="B1:CG42"/>
  <sheetViews>
    <sheetView showGridLines="0" zoomScaleNormal="100" workbookViewId="0">
      <selection activeCell="C12" sqref="C12"/>
    </sheetView>
  </sheetViews>
  <sheetFormatPr baseColWidth="10" defaultColWidth="11.42578125" defaultRowHeight="12.75" outlineLevelCol="1"/>
  <cols>
    <col min="1" max="1" width="2.7109375" style="5" customWidth="1"/>
    <col min="2" max="2" width="2.7109375" style="4" customWidth="1"/>
    <col min="3" max="3" width="25.7109375" style="149" customWidth="1"/>
    <col min="4" max="4" width="11.42578125" style="571" customWidth="1"/>
    <col min="5" max="5" width="4.7109375" style="5" customWidth="1"/>
    <col min="6" max="8" width="2.7109375" style="5" customWidth="1"/>
    <col min="9" max="9" width="27.140625" style="174" bestFit="1" customWidth="1"/>
    <col min="10" max="10" width="9.42578125" style="42" customWidth="1"/>
    <col min="11" max="11" width="2.7109375" style="42" bestFit="1" customWidth="1" collapsed="1"/>
    <col min="12" max="12" width="2.7109375" style="4" hidden="1" customWidth="1" outlineLevel="1"/>
    <col min="13" max="16" width="4.7109375" style="4" hidden="1" customWidth="1" outlineLevel="1"/>
    <col min="17" max="49" width="4.7109375" style="42" hidden="1" customWidth="1" outlineLevel="1"/>
    <col min="50" max="50" width="2.7109375" style="495" customWidth="1"/>
    <col min="51" max="52" width="2.7109375" style="5" customWidth="1"/>
    <col min="53" max="53" width="25.7109375" style="174" customWidth="1"/>
    <col min="54" max="54" width="9.42578125" style="42" customWidth="1"/>
    <col min="55" max="55" width="2.7109375" style="42" bestFit="1" customWidth="1" collapsed="1"/>
    <col min="56" max="56" width="2.7109375" style="4" hidden="1" customWidth="1" outlineLevel="1"/>
    <col min="57" max="61" width="4.7109375" style="4" hidden="1" customWidth="1" outlineLevel="1"/>
    <col min="62" max="84" width="4.7109375" style="42" hidden="1" customWidth="1" outlineLevel="1"/>
    <col min="85" max="85" width="2.7109375" style="42" customWidth="1"/>
    <col min="86" max="16384" width="11.42578125" style="5"/>
  </cols>
  <sheetData>
    <row r="1" spans="2:85">
      <c r="Q1" s="4"/>
      <c r="R1" s="4"/>
      <c r="S1" s="4"/>
      <c r="T1" s="4"/>
      <c r="U1" s="4"/>
      <c r="V1" s="4"/>
      <c r="W1" s="4"/>
      <c r="X1" s="4"/>
      <c r="Y1" s="4"/>
      <c r="Z1" s="4"/>
      <c r="AA1" s="4"/>
      <c r="AB1" s="4"/>
      <c r="AC1" s="4"/>
      <c r="AD1" s="4"/>
      <c r="AE1" s="4"/>
      <c r="AF1" s="4"/>
      <c r="AG1" s="4"/>
      <c r="BJ1" s="4"/>
      <c r="BK1" s="4"/>
      <c r="BL1" s="4"/>
      <c r="BM1" s="4"/>
      <c r="BN1" s="4"/>
      <c r="BO1" s="4"/>
      <c r="BP1" s="4"/>
      <c r="BQ1" s="4"/>
      <c r="BR1" s="4"/>
      <c r="BS1" s="4"/>
      <c r="BT1" s="4"/>
      <c r="BU1" s="4"/>
      <c r="BV1" s="4"/>
      <c r="BW1" s="4"/>
      <c r="BX1" s="4"/>
      <c r="BY1" s="4"/>
      <c r="BZ1" s="4"/>
      <c r="CA1" s="4"/>
    </row>
    <row r="2" spans="2:85">
      <c r="B2" s="2" t="s">
        <v>230</v>
      </c>
      <c r="C2" s="215" t="s">
        <v>702</v>
      </c>
      <c r="D2" s="572" t="s">
        <v>397</v>
      </c>
      <c r="E2" s="2" t="s">
        <v>696</v>
      </c>
      <c r="F2" s="496"/>
      <c r="G2" s="5" t="s">
        <v>36</v>
      </c>
      <c r="H2" s="5" t="s">
        <v>37</v>
      </c>
      <c r="I2" s="497" t="s">
        <v>701</v>
      </c>
      <c r="J2" s="245" t="s">
        <v>397</v>
      </c>
      <c r="K2" s="498" t="s">
        <v>131</v>
      </c>
      <c r="L2" s="499" t="s">
        <v>230</v>
      </c>
      <c r="M2" s="499" t="s">
        <v>211</v>
      </c>
      <c r="N2" s="500" t="s">
        <v>212</v>
      </c>
      <c r="O2" s="500" t="s">
        <v>213</v>
      </c>
      <c r="P2" s="500" t="s">
        <v>214</v>
      </c>
      <c r="Q2" s="500" t="s">
        <v>215</v>
      </c>
      <c r="R2" s="500" t="s">
        <v>216</v>
      </c>
      <c r="S2" s="500" t="s">
        <v>217</v>
      </c>
      <c r="T2" s="500" t="s">
        <v>218</v>
      </c>
      <c r="U2" s="500" t="s">
        <v>219</v>
      </c>
      <c r="V2" s="500" t="s">
        <v>220</v>
      </c>
      <c r="W2" s="500" t="s">
        <v>243</v>
      </c>
      <c r="X2" s="500" t="s">
        <v>676</v>
      </c>
      <c r="Y2" s="500" t="s">
        <v>221</v>
      </c>
      <c r="Z2" s="500" t="s">
        <v>222</v>
      </c>
      <c r="AA2" s="500" t="s">
        <v>223</v>
      </c>
      <c r="AB2" s="500" t="s">
        <v>224</v>
      </c>
      <c r="AC2" s="500" t="s">
        <v>225</v>
      </c>
      <c r="AD2" s="500" t="s">
        <v>226</v>
      </c>
      <c r="AE2" s="500" t="s">
        <v>227</v>
      </c>
      <c r="AF2" s="501" t="s">
        <v>228</v>
      </c>
      <c r="AG2" s="500" t="s">
        <v>238</v>
      </c>
      <c r="AH2" s="500" t="s">
        <v>239</v>
      </c>
      <c r="AI2" s="500" t="s">
        <v>242</v>
      </c>
      <c r="AJ2" s="500" t="s">
        <v>677</v>
      </c>
      <c r="AK2" s="500" t="s">
        <v>678</v>
      </c>
      <c r="AL2" s="500" t="s">
        <v>679</v>
      </c>
      <c r="AM2" s="500" t="s">
        <v>680</v>
      </c>
      <c r="AN2" s="500" t="s">
        <v>681</v>
      </c>
      <c r="AO2" s="500" t="s">
        <v>683</v>
      </c>
      <c r="AP2" s="500" t="s">
        <v>684</v>
      </c>
      <c r="AQ2" s="500" t="s">
        <v>670</v>
      </c>
      <c r="AR2" s="500" t="s">
        <v>671</v>
      </c>
      <c r="AS2" s="500" t="s">
        <v>685</v>
      </c>
      <c r="AT2" s="500" t="s">
        <v>686</v>
      </c>
      <c r="AU2" s="500" t="s">
        <v>687</v>
      </c>
      <c r="AV2" s="500" t="s">
        <v>688</v>
      </c>
      <c r="AW2" s="502" t="s">
        <v>689</v>
      </c>
      <c r="AY2" s="299" t="s">
        <v>36</v>
      </c>
      <c r="AZ2" s="299" t="s">
        <v>37</v>
      </c>
      <c r="BA2" s="473" t="s">
        <v>700</v>
      </c>
      <c r="BB2" s="154" t="s">
        <v>397</v>
      </c>
      <c r="BC2" s="474" t="s">
        <v>131</v>
      </c>
      <c r="BD2" s="503" t="s">
        <v>230</v>
      </c>
      <c r="BE2" s="503" t="s">
        <v>211</v>
      </c>
      <c r="BF2" s="504" t="s">
        <v>212</v>
      </c>
      <c r="BG2" s="504" t="s">
        <v>213</v>
      </c>
      <c r="BH2" s="504" t="s">
        <v>214</v>
      </c>
      <c r="BI2" s="504" t="s">
        <v>215</v>
      </c>
      <c r="BJ2" s="504" t="s">
        <v>216</v>
      </c>
      <c r="BK2" s="504" t="s">
        <v>217</v>
      </c>
      <c r="BL2" s="504" t="s">
        <v>218</v>
      </c>
      <c r="BM2" s="504" t="s">
        <v>219</v>
      </c>
      <c r="BN2" s="504" t="s">
        <v>220</v>
      </c>
      <c r="BO2" s="504" t="s">
        <v>243</v>
      </c>
      <c r="BP2" s="504" t="s">
        <v>676</v>
      </c>
      <c r="BQ2" s="504" t="s">
        <v>221</v>
      </c>
      <c r="BR2" s="504" t="s">
        <v>222</v>
      </c>
      <c r="BS2" s="504" t="s">
        <v>223</v>
      </c>
      <c r="BT2" s="504" t="s">
        <v>224</v>
      </c>
      <c r="BU2" s="505" t="s">
        <v>225</v>
      </c>
      <c r="BV2" s="504" t="s">
        <v>227</v>
      </c>
      <c r="BW2" s="504" t="s">
        <v>228</v>
      </c>
      <c r="BX2" s="504" t="s">
        <v>229</v>
      </c>
      <c r="BY2" s="504" t="s">
        <v>238</v>
      </c>
      <c r="BZ2" s="504" t="s">
        <v>239</v>
      </c>
      <c r="CA2" s="504" t="s">
        <v>242</v>
      </c>
      <c r="CB2" s="504" t="s">
        <v>677</v>
      </c>
      <c r="CC2" s="504" t="s">
        <v>678</v>
      </c>
      <c r="CD2" s="504" t="s">
        <v>679</v>
      </c>
      <c r="CE2" s="504" t="s">
        <v>680</v>
      </c>
      <c r="CF2" s="506" t="s">
        <v>681</v>
      </c>
      <c r="CG2" s="2"/>
    </row>
    <row r="3" spans="2:85">
      <c r="B3" s="557">
        <v>1</v>
      </c>
      <c r="C3" s="563" t="s">
        <v>241</v>
      </c>
      <c r="D3" s="573"/>
      <c r="E3" s="577" t="s">
        <v>142</v>
      </c>
      <c r="F3" s="200"/>
      <c r="G3" s="507"/>
      <c r="H3" s="508"/>
      <c r="I3" s="509" t="s">
        <v>241</v>
      </c>
      <c r="J3" s="888">
        <f>$D$3</f>
        <v>0</v>
      </c>
      <c r="K3" s="477">
        <v>5</v>
      </c>
      <c r="L3" s="510">
        <f>ROW()-ROW($L$2)</f>
        <v>1</v>
      </c>
      <c r="M3" s="511">
        <f>AnalysisChart1[[#This Row],[Kosten]]</f>
        <v>0</v>
      </c>
      <c r="N3" s="512">
        <f>AnalysisChart1[[#This Row],[Kosten]]</f>
        <v>0</v>
      </c>
      <c r="O3" s="512">
        <f>AnalysisChart1[[#This Row],[Kosten]]</f>
        <v>0</v>
      </c>
      <c r="P3" s="512">
        <f>AnalysisChart1[[#This Row],[Kosten]]</f>
        <v>0</v>
      </c>
      <c r="Q3" s="513"/>
      <c r="R3" s="514"/>
      <c r="S3" s="514"/>
      <c r="T3" s="514"/>
      <c r="U3" s="512"/>
      <c r="V3" s="512"/>
      <c r="W3" s="512"/>
      <c r="X3" s="512"/>
      <c r="Y3" s="512"/>
      <c r="Z3" s="512"/>
      <c r="AA3" s="512"/>
      <c r="AB3" s="512"/>
      <c r="AC3" s="512"/>
      <c r="AD3" s="512"/>
      <c r="AE3" s="515"/>
      <c r="AF3" s="512"/>
      <c r="AG3" s="512"/>
      <c r="AH3" s="512"/>
      <c r="AI3" s="512"/>
      <c r="AJ3" s="512"/>
      <c r="AK3" s="512"/>
      <c r="AL3" s="516"/>
      <c r="AM3" s="512"/>
      <c r="AN3" s="512"/>
      <c r="AO3" s="512"/>
      <c r="AP3" s="512"/>
      <c r="AQ3" s="512"/>
      <c r="AR3" s="512"/>
      <c r="AS3" s="512"/>
      <c r="AT3" s="512"/>
      <c r="AU3" s="512"/>
      <c r="AV3" s="512"/>
      <c r="AW3" s="515"/>
      <c r="AY3" s="507"/>
      <c r="AZ3" s="508"/>
      <c r="BA3" s="475" t="s">
        <v>241</v>
      </c>
      <c r="BB3" s="476">
        <f>$D$3</f>
        <v>0</v>
      </c>
      <c r="BC3" s="477">
        <v>4</v>
      </c>
      <c r="BD3" s="510">
        <f>ROW()-ROW($L$2)</f>
        <v>1</v>
      </c>
      <c r="BE3" s="511">
        <f>AnalysisChart2[[#This Row],[Kosten]]</f>
        <v>0</v>
      </c>
      <c r="BF3" s="512">
        <f>AnalysisChart2[[#This Row],[Kosten]]</f>
        <v>0</v>
      </c>
      <c r="BG3" s="512">
        <f>AnalysisChart2[[#This Row],[Kosten]]</f>
        <v>0</v>
      </c>
      <c r="BH3" s="512">
        <f>AnalysisChart2[[#This Row],[Kosten]]</f>
        <v>0</v>
      </c>
      <c r="BI3" s="512">
        <f>AnalysisChart2[[#This Row],[Kosten]]</f>
        <v>0</v>
      </c>
      <c r="BJ3" s="512">
        <f>AnalysisChart2[[#This Row],[Kosten]]</f>
        <v>0</v>
      </c>
      <c r="BK3" s="512">
        <f>AnalysisChart2[[#This Row],[Kosten]]</f>
        <v>0</v>
      </c>
      <c r="BL3" s="512">
        <f>AnalysisChart2[[#This Row],[Kosten]]</f>
        <v>0</v>
      </c>
      <c r="BM3" s="512">
        <f>AnalysisChart2[[#This Row],[Kosten]]</f>
        <v>0</v>
      </c>
      <c r="BN3" s="517"/>
      <c r="BO3" s="512"/>
      <c r="BP3" s="512"/>
      <c r="BQ3" s="512"/>
      <c r="BR3" s="512"/>
      <c r="BS3" s="512"/>
      <c r="BT3" s="512"/>
      <c r="BU3" s="512"/>
      <c r="BV3" s="512"/>
      <c r="BW3" s="512"/>
      <c r="BX3" s="512"/>
      <c r="BY3" s="518"/>
      <c r="BZ3" s="512"/>
      <c r="CA3" s="517"/>
      <c r="CB3" s="512"/>
      <c r="CC3" s="512"/>
      <c r="CD3" s="512"/>
      <c r="CE3" s="512"/>
      <c r="CF3" s="515"/>
    </row>
    <row r="4" spans="2:85">
      <c r="B4" s="558">
        <v>2</v>
      </c>
      <c r="C4" s="564" t="s">
        <v>543</v>
      </c>
      <c r="D4" s="553"/>
      <c r="E4" s="578" t="s">
        <v>142</v>
      </c>
      <c r="F4" s="203"/>
      <c r="G4" s="519"/>
      <c r="H4" s="520" t="s">
        <v>131</v>
      </c>
      <c r="I4" s="521" t="s">
        <v>543</v>
      </c>
      <c r="J4" s="889">
        <f>$D$4</f>
        <v>0</v>
      </c>
      <c r="K4" s="479">
        <v>5</v>
      </c>
      <c r="L4" s="522">
        <f>ROW()-ROW($L$2)</f>
        <v>2</v>
      </c>
      <c r="M4" s="8"/>
      <c r="N4" s="497">
        <f>AnalysisChart1[[#This Row],[Kosten]]</f>
        <v>0</v>
      </c>
      <c r="O4" s="523">
        <f>AnalysisChart1[[#This Row],[Kosten]]</f>
        <v>0</v>
      </c>
      <c r="P4" s="523">
        <f>AnalysisChart1[[#This Row],[Kosten]]</f>
        <v>0</v>
      </c>
      <c r="Q4" s="524"/>
      <c r="R4" s="525"/>
      <c r="S4" s="525"/>
      <c r="T4" s="525"/>
      <c r="U4" s="523"/>
      <c r="V4" s="523"/>
      <c r="W4" s="523"/>
      <c r="X4" s="523"/>
      <c r="Y4" s="523"/>
      <c r="Z4" s="523"/>
      <c r="AA4" s="523"/>
      <c r="AB4" s="523"/>
      <c r="AC4" s="523"/>
      <c r="AD4" s="523"/>
      <c r="AE4" s="526"/>
      <c r="AF4" s="523"/>
      <c r="AG4" s="523"/>
      <c r="AH4" s="523"/>
      <c r="AI4" s="523"/>
      <c r="AJ4" s="523"/>
      <c r="AK4" s="523"/>
      <c r="AL4" s="527"/>
      <c r="AM4" s="523"/>
      <c r="AN4" s="523"/>
      <c r="AO4" s="523"/>
      <c r="AP4" s="523"/>
      <c r="AQ4" s="523"/>
      <c r="AR4" s="523"/>
      <c r="AS4" s="523"/>
      <c r="AT4" s="523"/>
      <c r="AU4" s="523"/>
      <c r="AV4" s="523"/>
      <c r="AW4" s="526"/>
      <c r="AY4" s="519"/>
      <c r="AZ4" s="520"/>
      <c r="BA4" s="478" t="s">
        <v>543</v>
      </c>
      <c r="BB4" s="476">
        <f>$D$4</f>
        <v>0</v>
      </c>
      <c r="BC4" s="479">
        <v>4</v>
      </c>
      <c r="BD4" s="522">
        <f>ROW()-ROW($L$2)</f>
        <v>2</v>
      </c>
      <c r="BE4" s="8"/>
      <c r="BF4" s="497">
        <f>AnalysisChart2[[#This Row],[Kosten]]</f>
        <v>0</v>
      </c>
      <c r="BG4" s="523">
        <f>AnalysisChart2[[#This Row],[Kosten]]</f>
        <v>0</v>
      </c>
      <c r="BH4" s="523">
        <f>AnalysisChart2[[#This Row],[Kosten]]</f>
        <v>0</v>
      </c>
      <c r="BI4" s="523">
        <f>AnalysisChart2[[#This Row],[Kosten]]</f>
        <v>0</v>
      </c>
      <c r="BJ4" s="523">
        <f>AnalysisChart2[[#This Row],[Kosten]]</f>
        <v>0</v>
      </c>
      <c r="BK4" s="523">
        <f>AnalysisChart2[[#This Row],[Kosten]]</f>
        <v>0</v>
      </c>
      <c r="BL4" s="523">
        <f>AnalysisChart2[[#This Row],[Kosten]]</f>
        <v>0</v>
      </c>
      <c r="BM4" s="523">
        <f>AnalysisChart2[[#This Row],[Kosten]]</f>
        <v>0</v>
      </c>
      <c r="BN4" s="528"/>
      <c r="BO4" s="523"/>
      <c r="BP4" s="523"/>
      <c r="BQ4" s="523"/>
      <c r="BR4" s="523"/>
      <c r="BS4" s="523"/>
      <c r="BT4" s="523"/>
      <c r="BU4" s="523"/>
      <c r="BV4" s="523"/>
      <c r="BW4" s="523"/>
      <c r="BX4" s="523"/>
      <c r="BZ4" s="523"/>
      <c r="CA4" s="528"/>
      <c r="CB4" s="523"/>
      <c r="CC4" s="523"/>
      <c r="CD4" s="523"/>
      <c r="CE4" s="523"/>
      <c r="CF4" s="526"/>
    </row>
    <row r="5" spans="2:85">
      <c r="B5" s="558">
        <v>3</v>
      </c>
      <c r="C5" s="564" t="s">
        <v>1130</v>
      </c>
      <c r="D5" s="553"/>
      <c r="E5" s="578" t="s">
        <v>142</v>
      </c>
      <c r="F5" s="203"/>
      <c r="G5" s="519"/>
      <c r="H5" s="520" t="s">
        <v>131</v>
      </c>
      <c r="I5" s="521" t="s">
        <v>1130</v>
      </c>
      <c r="J5" s="889">
        <f>$D$5</f>
        <v>0</v>
      </c>
      <c r="K5" s="479">
        <v>5</v>
      </c>
      <c r="L5" s="522">
        <f>ROW()-ROW($L$2)</f>
        <v>3</v>
      </c>
      <c r="M5" s="8"/>
      <c r="N5" s="8"/>
      <c r="O5" s="497">
        <f>AnalysisChart1[[#This Row],[Kosten]]</f>
        <v>0</v>
      </c>
      <c r="P5" s="523">
        <f>AnalysisChart1[[#This Row],[Kosten]]</f>
        <v>0</v>
      </c>
      <c r="Q5" s="526"/>
      <c r="AE5" s="526"/>
      <c r="AL5" s="526"/>
      <c r="AR5" s="523"/>
      <c r="AS5" s="497"/>
      <c r="AT5" s="523"/>
      <c r="AU5" s="523"/>
      <c r="AV5" s="523"/>
      <c r="AW5" s="526"/>
      <c r="AY5" s="519"/>
      <c r="AZ5" s="520"/>
      <c r="BA5" s="478" t="s">
        <v>1130</v>
      </c>
      <c r="BB5" s="476">
        <f>$D$5</f>
        <v>0</v>
      </c>
      <c r="BC5" s="479">
        <v>4</v>
      </c>
      <c r="BD5" s="522">
        <f>ROW()-ROW($L$2)</f>
        <v>3</v>
      </c>
      <c r="BE5" s="8"/>
      <c r="BF5" s="8"/>
      <c r="BG5" s="497">
        <f>AnalysisChart2[[#This Row],[Kosten]]</f>
        <v>0</v>
      </c>
      <c r="BH5" s="523">
        <f>AnalysisChart2[[#This Row],[Kosten]]</f>
        <v>0</v>
      </c>
      <c r="BI5" s="523">
        <f>AnalysisChart2[[#This Row],[Kosten]]</f>
        <v>0</v>
      </c>
      <c r="BJ5" s="523">
        <f>AnalysisChart2[[#This Row],[Kosten]]</f>
        <v>0</v>
      </c>
      <c r="BK5" s="523">
        <f>AnalysisChart2[[#This Row],[Kosten]]</f>
        <v>0</v>
      </c>
      <c r="BL5" s="523">
        <f>AnalysisChart2[[#This Row],[Kosten]]</f>
        <v>0</v>
      </c>
      <c r="BM5" s="523">
        <f>AnalysisChart2[[#This Row],[Kosten]]</f>
        <v>0</v>
      </c>
      <c r="BN5" s="526"/>
      <c r="CA5" s="526"/>
      <c r="CF5" s="526"/>
    </row>
    <row r="6" spans="2:85">
      <c r="B6" s="558">
        <v>4</v>
      </c>
      <c r="C6" s="565" t="s">
        <v>164</v>
      </c>
      <c r="D6" s="553"/>
      <c r="E6" s="579" t="s">
        <v>268</v>
      </c>
      <c r="F6" s="203"/>
      <c r="G6" s="519" t="str">
        <f>IF(AND(ROUND(AnalysisChart1[[#This Row],[Kosten]],4)&gt;0,COUNTIF(H3:H5,"+")&gt;0),"x","-")</f>
        <v>-</v>
      </c>
      <c r="H6" s="520" t="str">
        <f>IF(AnalysisChart1[[#This Row],[ ]]&lt;&gt;"",AnalysisChart1[[#This Row],[ ]],"")</f>
        <v>-</v>
      </c>
      <c r="I6" s="529" t="s">
        <v>682</v>
      </c>
      <c r="J6" s="889" cm="1">
        <f t="array" ref="J6">J7-SUMPRODUCT((H3:H5="+")*1,J3:J5)</f>
        <v>0</v>
      </c>
      <c r="K6" s="479">
        <v>5</v>
      </c>
      <c r="L6" s="522">
        <f>ROW()-ROW($L$2)</f>
        <v>4</v>
      </c>
      <c r="M6" s="8"/>
      <c r="N6" s="8"/>
      <c r="O6" s="8"/>
      <c r="P6" s="497">
        <f>AnalysisChart1[[#This Row],[Kosten]]</f>
        <v>0</v>
      </c>
      <c r="Q6" s="526"/>
      <c r="AE6" s="526"/>
      <c r="AL6" s="526"/>
      <c r="AR6" s="523"/>
      <c r="AS6" s="523"/>
      <c r="AT6" s="523"/>
      <c r="AU6" s="523"/>
      <c r="AV6" s="523"/>
      <c r="AW6" s="526"/>
      <c r="AY6" s="519"/>
      <c r="AZ6" s="520"/>
      <c r="BA6" s="480" t="s">
        <v>166</v>
      </c>
      <c r="BB6" s="476">
        <f>$D$11</f>
        <v>0</v>
      </c>
      <c r="BC6" s="479">
        <v>4</v>
      </c>
      <c r="BD6" s="522">
        <f>ROW()-ROW($L$2)</f>
        <v>4</v>
      </c>
      <c r="BE6" s="8"/>
      <c r="BF6" s="8"/>
      <c r="BG6" s="8"/>
      <c r="BH6" s="497">
        <f>AnalysisChart2[[#This Row],[Kosten]]</f>
        <v>0</v>
      </c>
      <c r="BI6" s="523">
        <f>AnalysisChart2[[#This Row],[Kosten]]</f>
        <v>0</v>
      </c>
      <c r="BJ6" s="523">
        <f>AnalysisChart2[[#This Row],[Kosten]]</f>
        <v>0</v>
      </c>
      <c r="BK6" s="523">
        <f>AnalysisChart2[[#This Row],[Kosten]]</f>
        <v>0</v>
      </c>
      <c r="BL6" s="523">
        <f>AnalysisChart2[[#This Row],[Kosten]]</f>
        <v>0</v>
      </c>
      <c r="BM6" s="523">
        <f>AnalysisChart2[[#This Row],[Kosten]]</f>
        <v>0</v>
      </c>
      <c r="BN6" s="526"/>
      <c r="CA6" s="526"/>
      <c r="CF6" s="526"/>
    </row>
    <row r="7" spans="2:85">
      <c r="B7" s="558">
        <v>5</v>
      </c>
      <c r="C7" s="564" t="s">
        <v>1404</v>
      </c>
      <c r="D7" s="553"/>
      <c r="E7" s="578" t="s">
        <v>142</v>
      </c>
      <c r="F7" s="203"/>
      <c r="G7" s="519" t="str">
        <f>IF(COUNTIF(H3:H5,"+")&gt;0,"S","+")</f>
        <v>S</v>
      </c>
      <c r="H7" s="520" t="s">
        <v>131</v>
      </c>
      <c r="I7" s="530" t="s">
        <v>164</v>
      </c>
      <c r="J7" s="895">
        <f>IF(AnalysisChart1[[#This Row],[  ]]="+",$D$6,0)</f>
        <v>0</v>
      </c>
      <c r="K7" s="481">
        <v>4</v>
      </c>
      <c r="L7" s="531">
        <f t="shared" ref="L7:L38" si="0">ROW()-ROW($L$2)</f>
        <v>5</v>
      </c>
      <c r="M7" s="8"/>
      <c r="N7" s="8"/>
      <c r="O7" s="8"/>
      <c r="P7" s="8"/>
      <c r="Q7" s="532">
        <f>AnalysisChart1[[#This Row],[Kosten]]</f>
        <v>0</v>
      </c>
      <c r="R7" s="523">
        <f>AnalysisChart1[[#This Row],[Kosten]]</f>
        <v>0</v>
      </c>
      <c r="S7" s="523">
        <f>AnalysisChart1[[#This Row],[Kosten]]</f>
        <v>0</v>
      </c>
      <c r="T7" s="523">
        <f>AnalysisChart1[[#This Row],[Kosten]]</f>
        <v>0</v>
      </c>
      <c r="U7" s="523">
        <f>AnalysisChart1[[#This Row],[Kosten]]</f>
        <v>0</v>
      </c>
      <c r="V7" s="523">
        <f>AnalysisChart1[[#This Row],[Kosten]]</f>
        <v>0</v>
      </c>
      <c r="W7" s="523">
        <f>AnalysisChart1[[#This Row],[Kosten]]</f>
        <v>0</v>
      </c>
      <c r="X7" s="523">
        <f>AnalysisChart1[[#This Row],[Kosten]]</f>
        <v>0</v>
      </c>
      <c r="Y7" s="523">
        <f>AnalysisChart1[[#This Row],[Kosten]]</f>
        <v>0</v>
      </c>
      <c r="Z7" s="523">
        <f>AnalysisChart1[[#This Row],[Kosten]]</f>
        <v>0</v>
      </c>
      <c r="AA7" s="523">
        <f>AnalysisChart1[[#This Row],[Kosten]]</f>
        <v>0</v>
      </c>
      <c r="AB7" s="523">
        <f>AnalysisChart1[[#This Row],[Kosten]]</f>
        <v>0</v>
      </c>
      <c r="AC7" s="523">
        <f>AnalysisChart1[[#This Row],[Kosten]]</f>
        <v>0</v>
      </c>
      <c r="AD7" s="523">
        <f>AnalysisChart1[[#This Row],[Kosten]]</f>
        <v>0</v>
      </c>
      <c r="AE7" s="526"/>
      <c r="AF7" s="523"/>
      <c r="AG7" s="523"/>
      <c r="AH7" s="523"/>
      <c r="AI7" s="523"/>
      <c r="AJ7" s="523"/>
      <c r="AK7" s="523"/>
      <c r="AL7" s="527"/>
      <c r="AM7" s="523"/>
      <c r="AN7" s="523"/>
      <c r="AO7" s="523"/>
      <c r="AP7" s="523"/>
      <c r="AQ7" s="523"/>
      <c r="AR7" s="523"/>
      <c r="AS7" s="523"/>
      <c r="AT7" s="523"/>
      <c r="AU7" s="523"/>
      <c r="AV7" s="523"/>
      <c r="AW7" s="526"/>
      <c r="AY7" s="519"/>
      <c r="AZ7" s="520"/>
      <c r="BA7" s="480" t="s">
        <v>208</v>
      </c>
      <c r="BB7" s="476">
        <f>$D$12</f>
        <v>0</v>
      </c>
      <c r="BC7" s="479">
        <v>4</v>
      </c>
      <c r="BD7" s="522">
        <f>ROW()-ROW($L$2)</f>
        <v>5</v>
      </c>
      <c r="BE7" s="8"/>
      <c r="BF7" s="8"/>
      <c r="BG7" s="8"/>
      <c r="BH7" s="8"/>
      <c r="BI7" s="497">
        <f>AnalysisChart2[[#This Row],[Kosten]]</f>
        <v>0</v>
      </c>
      <c r="BJ7" s="523">
        <f>AnalysisChart2[[#This Row],[Kosten]]</f>
        <v>0</v>
      </c>
      <c r="BK7" s="523">
        <f>AnalysisChart2[[#This Row],[Kosten]]</f>
        <v>0</v>
      </c>
      <c r="BL7" s="523">
        <f>AnalysisChart2[[#This Row],[Kosten]]</f>
        <v>0</v>
      </c>
      <c r="BM7" s="523">
        <f>AnalysisChart2[[#This Row],[Kosten]]</f>
        <v>0</v>
      </c>
      <c r="BN7" s="526"/>
      <c r="CA7" s="526"/>
      <c r="CF7" s="526"/>
    </row>
    <row r="8" spans="2:85">
      <c r="B8" s="558">
        <v>6</v>
      </c>
      <c r="C8" s="564" t="s">
        <v>1405</v>
      </c>
      <c r="D8" s="553"/>
      <c r="E8" s="578" t="s">
        <v>142</v>
      </c>
      <c r="F8" s="203"/>
      <c r="G8" s="519" t="s">
        <v>142</v>
      </c>
      <c r="H8" s="520" t="s">
        <v>142</v>
      </c>
      <c r="I8" s="521" t="s">
        <v>1404</v>
      </c>
      <c r="J8" s="889">
        <f>$D$7</f>
        <v>0</v>
      </c>
      <c r="K8" s="479">
        <v>5</v>
      </c>
      <c r="L8" s="522">
        <f>ROW()-ROW($L$2)</f>
        <v>6</v>
      </c>
      <c r="M8" s="8"/>
      <c r="N8" s="8"/>
      <c r="O8" s="8"/>
      <c r="P8" s="8"/>
      <c r="R8" s="497">
        <f>AnalysisChart1[[#This Row],[Kosten]]</f>
        <v>0</v>
      </c>
      <c r="S8" s="523">
        <f>AnalysisChart1[[#This Row],[Kosten]]</f>
        <v>0</v>
      </c>
      <c r="T8" s="523">
        <f>AnalysisChart1[[#This Row],[Kosten]]</f>
        <v>0</v>
      </c>
      <c r="U8" s="513"/>
      <c r="AE8" s="526"/>
      <c r="AL8" s="526"/>
      <c r="AR8" s="523"/>
      <c r="AS8" s="523"/>
      <c r="AT8" s="523"/>
      <c r="AU8" s="523"/>
      <c r="AV8" s="523"/>
      <c r="AW8" s="526"/>
      <c r="AY8" s="519"/>
      <c r="AZ8" s="520"/>
      <c r="BA8" s="478" t="s">
        <v>1404</v>
      </c>
      <c r="BB8" s="476">
        <f>$D$7</f>
        <v>0</v>
      </c>
      <c r="BC8" s="481">
        <v>4</v>
      </c>
      <c r="BD8" s="531">
        <f t="shared" ref="BD8:BD29" si="1">ROW()-ROW($L$2)</f>
        <v>6</v>
      </c>
      <c r="BE8" s="8"/>
      <c r="BF8" s="8"/>
      <c r="BG8" s="8"/>
      <c r="BH8" s="8"/>
      <c r="BI8" s="8"/>
      <c r="BJ8" s="497">
        <f>AnalysisChart2[[#This Row],[Kosten]]</f>
        <v>0</v>
      </c>
      <c r="BK8" s="523">
        <f>AnalysisChart2[[#This Row],[Kosten]]</f>
        <v>0</v>
      </c>
      <c r="BL8" s="523">
        <f>AnalysisChart2[[#This Row],[Kosten]]</f>
        <v>0</v>
      </c>
      <c r="BM8" s="523">
        <f>AnalysisChart2[[#This Row],[Kosten]]</f>
        <v>0</v>
      </c>
      <c r="BN8" s="528"/>
      <c r="BO8" s="523"/>
      <c r="BP8" s="523"/>
      <c r="BQ8" s="523"/>
      <c r="BR8" s="523"/>
      <c r="BS8" s="523"/>
      <c r="BT8" s="523"/>
      <c r="BU8" s="523"/>
      <c r="BV8" s="523"/>
      <c r="BW8" s="523"/>
      <c r="BX8" s="523"/>
      <c r="BZ8" s="523"/>
      <c r="CA8" s="528"/>
      <c r="CB8" s="523"/>
      <c r="CC8" s="523"/>
      <c r="CD8" s="523"/>
      <c r="CE8" s="523"/>
      <c r="CF8" s="526"/>
    </row>
    <row r="9" spans="2:85">
      <c r="B9" s="558">
        <v>7</v>
      </c>
      <c r="C9" s="565" t="s">
        <v>165</v>
      </c>
      <c r="D9" s="553"/>
      <c r="E9" s="579" t="s">
        <v>40</v>
      </c>
      <c r="F9" s="203"/>
      <c r="G9" s="519" t="s">
        <v>142</v>
      </c>
      <c r="H9" s="520" t="s">
        <v>142</v>
      </c>
      <c r="I9" s="521" t="s">
        <v>1405</v>
      </c>
      <c r="J9" s="889">
        <f>$D$8</f>
        <v>0</v>
      </c>
      <c r="K9" s="479">
        <v>5</v>
      </c>
      <c r="L9" s="522">
        <f>ROW()-ROW($L$2)</f>
        <v>7</v>
      </c>
      <c r="M9" s="8"/>
      <c r="N9" s="8"/>
      <c r="O9" s="8"/>
      <c r="P9" s="8"/>
      <c r="S9" s="497">
        <f>AnalysisChart1[[#This Row],[Kosten]]</f>
        <v>0</v>
      </c>
      <c r="T9" s="523">
        <f>AnalysisChart1[[#This Row],[Kosten]]</f>
        <v>0</v>
      </c>
      <c r="U9" s="524"/>
      <c r="AE9" s="526"/>
      <c r="AL9" s="526"/>
      <c r="AR9" s="523"/>
      <c r="AS9" s="523"/>
      <c r="AT9" s="523"/>
      <c r="AU9" s="523"/>
      <c r="AV9" s="523"/>
      <c r="AW9" s="526"/>
      <c r="AY9" s="519"/>
      <c r="AZ9" s="520"/>
      <c r="BA9" s="478" t="s">
        <v>1400</v>
      </c>
      <c r="BB9" s="476">
        <f>$D$13</f>
        <v>0</v>
      </c>
      <c r="BC9" s="479">
        <v>4</v>
      </c>
      <c r="BD9" s="522">
        <f>ROW()-ROW($L$2)</f>
        <v>7</v>
      </c>
      <c r="BE9" s="8"/>
      <c r="BF9" s="8"/>
      <c r="BG9" s="8"/>
      <c r="BH9" s="8"/>
      <c r="BI9" s="8"/>
      <c r="BK9" s="497">
        <f>AnalysisChart2[[#This Row],[Kosten]]</f>
        <v>0</v>
      </c>
      <c r="BL9" s="523">
        <f>AnalysisChart2[[#This Row],[Kosten]]</f>
        <v>0</v>
      </c>
      <c r="BM9" s="523">
        <f>AnalysisChart2[[#This Row],[Kosten]]</f>
        <v>0</v>
      </c>
      <c r="BN9" s="524"/>
      <c r="CA9" s="526"/>
      <c r="CF9" s="526"/>
    </row>
    <row r="10" spans="2:85">
      <c r="B10" s="558">
        <v>8</v>
      </c>
      <c r="C10" s="565" t="s">
        <v>440</v>
      </c>
      <c r="D10" s="553"/>
      <c r="E10" s="579" t="s">
        <v>276</v>
      </c>
      <c r="F10" s="203"/>
      <c r="G10" s="519" t="str">
        <f>IF(AND(ROUND(AnalysisChart1[[#This Row],[Kosten]],4)&gt;0,COUNTIF(H8:H9,"+")&gt;0),"x","-")</f>
        <v>-</v>
      </c>
      <c r="H10" s="520" t="str">
        <f>IF(AnalysisChart1[[#This Row],[ ]]&lt;&gt;"",AnalysisChart1[[#This Row],[ ]],"")</f>
        <v>-</v>
      </c>
      <c r="I10" s="529" t="s">
        <v>682</v>
      </c>
      <c r="J10" s="889" cm="1">
        <f t="array" ref="J10">J11-SUMPRODUCT((H8:H9="+")*1,J8:J9)</f>
        <v>0</v>
      </c>
      <c r="K10" s="479">
        <v>5</v>
      </c>
      <c r="L10" s="522">
        <f>ROW()-ROW($L$2)</f>
        <v>8</v>
      </c>
      <c r="M10" s="8"/>
      <c r="N10" s="8"/>
      <c r="O10" s="8"/>
      <c r="P10" s="8"/>
      <c r="T10" s="497">
        <f>AnalysisChart1[[#This Row],[Kosten]]</f>
        <v>0</v>
      </c>
      <c r="U10" s="526"/>
      <c r="AE10" s="526"/>
      <c r="AL10" s="526"/>
      <c r="AR10" s="523"/>
      <c r="AS10" s="523"/>
      <c r="AT10" s="523"/>
      <c r="AU10" s="523"/>
      <c r="AV10" s="523"/>
      <c r="AW10" s="526"/>
      <c r="AY10" s="519"/>
      <c r="AZ10" s="520"/>
      <c r="BA10" s="480" t="s">
        <v>1402</v>
      </c>
      <c r="BB10" s="482">
        <f>$D$16</f>
        <v>0</v>
      </c>
      <c r="BC10" s="479">
        <v>4</v>
      </c>
      <c r="BD10" s="522">
        <f>ROW()-ROW($L$2)</f>
        <v>8</v>
      </c>
      <c r="BE10" s="8"/>
      <c r="BF10" s="8"/>
      <c r="BG10" s="8"/>
      <c r="BH10" s="8"/>
      <c r="BI10" s="8"/>
      <c r="BL10" s="497">
        <f>AnalysisChart2[[#This Row],[Kosten]]</f>
        <v>0</v>
      </c>
      <c r="BM10" s="523">
        <f>AnalysisChart2[[#This Row],[Kosten]]</f>
        <v>0</v>
      </c>
      <c r="BN10" s="524"/>
      <c r="CA10" s="526"/>
      <c r="CF10" s="526"/>
    </row>
    <row r="11" spans="2:85">
      <c r="B11" s="558">
        <v>9</v>
      </c>
      <c r="C11" s="565" t="s">
        <v>166</v>
      </c>
      <c r="D11" s="553"/>
      <c r="E11" s="579" t="s">
        <v>353</v>
      </c>
      <c r="F11" s="203"/>
      <c r="G11" s="519" t="str">
        <f>IF(COUNTIF(H8:H9,"+")&gt;0,"S","+")</f>
        <v>+</v>
      </c>
      <c r="H11" s="520" t="s">
        <v>131</v>
      </c>
      <c r="I11" s="530" t="s">
        <v>165</v>
      </c>
      <c r="J11" s="895">
        <f>IF(AnalysisChart1[[#This Row],[  ]]="+",$D$9,0)</f>
        <v>0</v>
      </c>
      <c r="K11" s="481">
        <v>4</v>
      </c>
      <c r="L11" s="531">
        <f t="shared" si="0"/>
        <v>9</v>
      </c>
      <c r="M11" s="8"/>
      <c r="N11" s="8"/>
      <c r="O11" s="8"/>
      <c r="P11" s="8"/>
      <c r="U11" s="532">
        <f>AnalysisChart1[[#This Row],[Kosten]]</f>
        <v>0</v>
      </c>
      <c r="V11" s="523">
        <f>AnalysisChart1[[#This Row],[Kosten]]</f>
        <v>0</v>
      </c>
      <c r="W11" s="523">
        <f>AnalysisChart1[[#This Row],[Kosten]]</f>
        <v>0</v>
      </c>
      <c r="X11" s="523">
        <f>AnalysisChart1[[#This Row],[Kosten]]</f>
        <v>0</v>
      </c>
      <c r="Y11" s="523">
        <f>AnalysisChart1[[#This Row],[Kosten]]</f>
        <v>0</v>
      </c>
      <c r="Z11" s="523">
        <f>AnalysisChart1[[#This Row],[Kosten]]</f>
        <v>0</v>
      </c>
      <c r="AA11" s="523">
        <f>AnalysisChart1[[#This Row],[Kosten]]</f>
        <v>0</v>
      </c>
      <c r="AB11" s="523">
        <f>AnalysisChart1[[#This Row],[Kosten]]</f>
        <v>0</v>
      </c>
      <c r="AC11" s="523">
        <f>AnalysisChart1[[#This Row],[Kosten]]</f>
        <v>0</v>
      </c>
      <c r="AD11" s="523">
        <f>AnalysisChart1[[#This Row],[Kosten]]</f>
        <v>0</v>
      </c>
      <c r="AE11" s="526"/>
      <c r="AF11" s="523"/>
      <c r="AG11" s="523"/>
      <c r="AH11" s="523"/>
      <c r="AI11" s="523"/>
      <c r="AJ11" s="523"/>
      <c r="AK11" s="523"/>
      <c r="AL11" s="527"/>
      <c r="AM11" s="523"/>
      <c r="AN11" s="523"/>
      <c r="AO11" s="523"/>
      <c r="AP11" s="523"/>
      <c r="AQ11" s="523"/>
      <c r="AR11" s="523"/>
      <c r="AS11" s="523"/>
      <c r="AT11" s="523"/>
      <c r="AU11" s="523"/>
      <c r="AV11" s="523"/>
      <c r="AW11" s="526"/>
      <c r="AY11" s="519" t="str">
        <f>IF(AND(ROUND(AnalysisChart2[[#This Row],[Kosten]],4)&gt;0,COUNTIF(AZ3:AZ10,"+")&gt;0),"x","-")</f>
        <v>-</v>
      </c>
      <c r="AZ11" s="520" t="str">
        <f>IF(AnalysisChart2[[#This Row],[ ]]&lt;&gt;"",AnalysisChart2[[#This Row],[ ]],"")</f>
        <v>-</v>
      </c>
      <c r="BA11" s="483" t="s">
        <v>682</v>
      </c>
      <c r="BB11" s="476">
        <f>BB12-SUMIF(BC$2:INDEX(BC:BC,ROW()-1),AnalysisChart2[[#This Row],[+]],BB$2:INDEX(BB:BB,ROW()-1))</f>
        <v>0</v>
      </c>
      <c r="BC11" s="479">
        <v>4</v>
      </c>
      <c r="BD11" s="522">
        <f>ROW()-ROW($L$2)</f>
        <v>9</v>
      </c>
      <c r="BE11" s="8"/>
      <c r="BF11" s="8"/>
      <c r="BG11" s="8"/>
      <c r="BH11" s="8"/>
      <c r="BI11" s="8"/>
      <c r="BM11" s="497">
        <f>AnalysisChart2[[#This Row],[Kosten]]</f>
        <v>0</v>
      </c>
      <c r="BN11" s="526"/>
      <c r="CA11" s="526"/>
      <c r="CF11" s="526"/>
    </row>
    <row r="12" spans="2:85">
      <c r="B12" s="558">
        <v>10</v>
      </c>
      <c r="C12" s="565" t="s">
        <v>208</v>
      </c>
      <c r="D12" s="553"/>
      <c r="E12" s="579" t="s">
        <v>346</v>
      </c>
      <c r="F12" s="203"/>
      <c r="G12" s="519" t="s">
        <v>131</v>
      </c>
      <c r="H12" s="520" t="s">
        <v>131</v>
      </c>
      <c r="I12" s="480" t="s">
        <v>440</v>
      </c>
      <c r="J12" s="889">
        <f>$D$10</f>
        <v>0</v>
      </c>
      <c r="K12" s="479">
        <v>4</v>
      </c>
      <c r="L12" s="531">
        <f t="shared" si="0"/>
        <v>10</v>
      </c>
      <c r="M12" s="8"/>
      <c r="N12" s="8"/>
      <c r="O12" s="8"/>
      <c r="P12" s="8"/>
      <c r="U12" s="533"/>
      <c r="V12" s="497">
        <f>AnalysisChart1[[#This Row],[Kosten]]</f>
        <v>0</v>
      </c>
      <c r="W12" s="523">
        <f>AnalysisChart1[[#This Row],[Kosten]]</f>
        <v>0</v>
      </c>
      <c r="X12" s="523">
        <f>AnalysisChart1[[#This Row],[Kosten]]</f>
        <v>0</v>
      </c>
      <c r="Y12" s="523">
        <f>AnalysisChart1[[#This Row],[Kosten]]</f>
        <v>0</v>
      </c>
      <c r="Z12" s="523">
        <f>AnalysisChart1[[#This Row],[Kosten]]</f>
        <v>0</v>
      </c>
      <c r="AA12" s="523">
        <f>AnalysisChart1[[#This Row],[Kosten]]</f>
        <v>0</v>
      </c>
      <c r="AB12" s="523">
        <f>AnalysisChart1[[#This Row],[Kosten]]</f>
        <v>0</v>
      </c>
      <c r="AC12" s="523">
        <f>AnalysisChart1[[#This Row],[Kosten]]</f>
        <v>0</v>
      </c>
      <c r="AD12" s="523">
        <f>AnalysisChart1[[#This Row],[Kosten]]</f>
        <v>0</v>
      </c>
      <c r="AE12" s="526"/>
      <c r="AF12" s="523"/>
      <c r="AG12" s="523"/>
      <c r="AH12" s="523"/>
      <c r="AI12" s="523"/>
      <c r="AJ12" s="523"/>
      <c r="AK12" s="523"/>
      <c r="AL12" s="527"/>
      <c r="AM12" s="523"/>
      <c r="AN12" s="523"/>
      <c r="AO12" s="523"/>
      <c r="AP12" s="523"/>
      <c r="AQ12" s="523"/>
      <c r="AR12" s="523"/>
      <c r="AS12" s="523"/>
      <c r="AT12" s="523"/>
      <c r="AU12" s="523"/>
      <c r="AV12" s="523"/>
      <c r="AW12" s="526"/>
      <c r="AY12" s="519" t="str">
        <f>IF(COUNTIF(AZ3:AZ10,"+")&gt;0,"S","+")</f>
        <v>+</v>
      </c>
      <c r="AZ12" s="520" t="s">
        <v>131</v>
      </c>
      <c r="BA12" s="484" t="s">
        <v>695</v>
      </c>
      <c r="BB12" s="476">
        <f>$D$6+$D$7+$D$13+$D$16</f>
        <v>0</v>
      </c>
      <c r="BC12" s="481">
        <v>3</v>
      </c>
      <c r="BD12" s="531">
        <f t="shared" si="1"/>
        <v>10</v>
      </c>
      <c r="BE12" s="8"/>
      <c r="BF12" s="8"/>
      <c r="BG12" s="8"/>
      <c r="BH12" s="8"/>
      <c r="BI12" s="8"/>
      <c r="BN12" s="532">
        <f>AnalysisChart2[[#This Row],[Kosten]]</f>
        <v>0</v>
      </c>
      <c r="BO12" s="523">
        <f>AnalysisChart2[[#This Row],[Kosten]]</f>
        <v>0</v>
      </c>
      <c r="BP12" s="523">
        <f>AnalysisChart2[[#This Row],[Kosten]]</f>
        <v>0</v>
      </c>
      <c r="BQ12" s="523">
        <f>AnalysisChart2[[#This Row],[Kosten]]</f>
        <v>0</v>
      </c>
      <c r="BR12" s="523">
        <f>AnalysisChart2[[#This Row],[Kosten]]</f>
        <v>0</v>
      </c>
      <c r="BS12" s="523">
        <f>AnalysisChart2[[#This Row],[Kosten]]</f>
        <v>0</v>
      </c>
      <c r="BT12" s="523">
        <f>AnalysisChart2[[#This Row],[Kosten]]</f>
        <v>0</v>
      </c>
      <c r="BU12" s="523">
        <f>AnalysisChart2[[#This Row],[Kosten]]</f>
        <v>0</v>
      </c>
      <c r="BV12" s="523">
        <f>AnalysisChart2[[#This Row],[Kosten]]</f>
        <v>0</v>
      </c>
      <c r="BW12" s="523">
        <f>AnalysisChart2[[#This Row],[Kosten]]</f>
        <v>0</v>
      </c>
      <c r="BX12" s="523">
        <f>AnalysisChart2[[#This Row],[Kosten]]</f>
        <v>0</v>
      </c>
      <c r="BY12" s="523">
        <f>AnalysisChart2[[#This Row],[Kosten]]</f>
        <v>0</v>
      </c>
      <c r="BZ12" s="523">
        <f>AnalysisChart2[[#This Row],[Kosten]]</f>
        <v>0</v>
      </c>
      <c r="CA12" s="528"/>
      <c r="CB12" s="523"/>
      <c r="CC12" s="523"/>
      <c r="CD12" s="523"/>
      <c r="CE12" s="523"/>
      <c r="CF12" s="526"/>
    </row>
    <row r="13" spans="2:85">
      <c r="B13" s="558">
        <v>11</v>
      </c>
      <c r="C13" s="564" t="s">
        <v>1400</v>
      </c>
      <c r="D13" s="553"/>
      <c r="E13" s="578" t="s">
        <v>142</v>
      </c>
      <c r="F13" s="203"/>
      <c r="G13" s="519"/>
      <c r="H13" s="520"/>
      <c r="I13" s="480" t="s">
        <v>166</v>
      </c>
      <c r="J13" s="889">
        <f>$D$11</f>
        <v>0</v>
      </c>
      <c r="K13" s="479">
        <v>4</v>
      </c>
      <c r="L13" s="531">
        <f t="shared" si="0"/>
        <v>11</v>
      </c>
      <c r="M13" s="8"/>
      <c r="N13" s="8"/>
      <c r="O13" s="8"/>
      <c r="P13" s="8"/>
      <c r="U13" s="533"/>
      <c r="V13" s="533"/>
      <c r="W13" s="497">
        <f>AnalysisChart1[[#This Row],[Kosten]]</f>
        <v>0</v>
      </c>
      <c r="X13" s="523">
        <f>AnalysisChart1[[#This Row],[Kosten]]</f>
        <v>0</v>
      </c>
      <c r="Y13" s="523">
        <f>AnalysisChart1[[#This Row],[Kosten]]</f>
        <v>0</v>
      </c>
      <c r="Z13" s="523">
        <f>AnalysisChart1[[#This Row],[Kosten]]</f>
        <v>0</v>
      </c>
      <c r="AA13" s="523">
        <f>AnalysisChart1[[#This Row],[Kosten]]</f>
        <v>0</v>
      </c>
      <c r="AB13" s="523">
        <f>AnalysisChart1[[#This Row],[Kosten]]</f>
        <v>0</v>
      </c>
      <c r="AC13" s="523">
        <f>AnalysisChart1[[#This Row],[Kosten]]</f>
        <v>0</v>
      </c>
      <c r="AD13" s="523">
        <f>AnalysisChart1[[#This Row],[Kosten]]</f>
        <v>0</v>
      </c>
      <c r="AE13" s="526"/>
      <c r="AF13" s="523"/>
      <c r="AG13" s="523"/>
      <c r="AH13" s="523"/>
      <c r="AI13" s="523"/>
      <c r="AJ13" s="523"/>
      <c r="AK13" s="523"/>
      <c r="AL13" s="527"/>
      <c r="AM13" s="523"/>
      <c r="AN13" s="523"/>
      <c r="AO13" s="523"/>
      <c r="AP13" s="523"/>
      <c r="AQ13" s="523"/>
      <c r="AR13" s="523"/>
      <c r="AS13" s="523"/>
      <c r="AT13" s="523"/>
      <c r="AU13" s="523"/>
      <c r="AV13" s="523"/>
      <c r="AW13" s="526"/>
      <c r="AY13" s="519"/>
      <c r="AZ13" s="520"/>
      <c r="BA13" s="478" t="s">
        <v>440</v>
      </c>
      <c r="BB13" s="476">
        <f>$D$10</f>
        <v>0</v>
      </c>
      <c r="BC13" s="479">
        <v>4</v>
      </c>
      <c r="BD13" s="531">
        <f t="shared" si="1"/>
        <v>11</v>
      </c>
      <c r="BE13" s="8"/>
      <c r="BF13" s="8"/>
      <c r="BG13" s="8"/>
      <c r="BH13" s="8"/>
      <c r="BI13" s="8"/>
      <c r="BN13" s="533"/>
      <c r="BO13" s="497">
        <f>AnalysisChart2[[#This Row],[Kosten]]</f>
        <v>0</v>
      </c>
      <c r="BP13" s="523">
        <f>AnalysisChart2[[#This Row],[Kosten]]</f>
        <v>0</v>
      </c>
      <c r="BQ13" s="523">
        <f>AnalysisChart2[[#This Row],[Kosten]]</f>
        <v>0</v>
      </c>
      <c r="BR13" s="523">
        <f>AnalysisChart2[[#This Row],[Kosten]]</f>
        <v>0</v>
      </c>
      <c r="BS13" s="523">
        <f>AnalysisChart2[[#This Row],[Kosten]]</f>
        <v>0</v>
      </c>
      <c r="BT13" s="517"/>
      <c r="BU13" s="523"/>
      <c r="BV13" s="523"/>
      <c r="BW13" s="523"/>
      <c r="BX13" s="523"/>
      <c r="BZ13" s="523"/>
      <c r="CA13" s="528"/>
      <c r="CB13" s="523"/>
      <c r="CC13" s="523"/>
      <c r="CD13" s="523"/>
      <c r="CE13" s="523"/>
      <c r="CF13" s="526"/>
    </row>
    <row r="14" spans="2:85">
      <c r="B14" s="558">
        <v>12</v>
      </c>
      <c r="C14" s="564" t="s">
        <v>1401</v>
      </c>
      <c r="D14" s="553"/>
      <c r="E14" s="578" t="s">
        <v>142</v>
      </c>
      <c r="F14" s="203"/>
      <c r="G14" s="519"/>
      <c r="H14" s="520"/>
      <c r="I14" s="480" t="s">
        <v>208</v>
      </c>
      <c r="J14" s="889">
        <f>$D$12</f>
        <v>0</v>
      </c>
      <c r="K14" s="479">
        <v>4</v>
      </c>
      <c r="L14" s="531">
        <f t="shared" si="0"/>
        <v>12</v>
      </c>
      <c r="M14" s="8"/>
      <c r="N14" s="8"/>
      <c r="O14" s="8"/>
      <c r="P14" s="8"/>
      <c r="U14" s="533"/>
      <c r="V14" s="533"/>
      <c r="W14" s="533"/>
      <c r="X14" s="497">
        <f>AnalysisChart1[[#This Row],[Kosten]]</f>
        <v>0</v>
      </c>
      <c r="Y14" s="523">
        <f>AnalysisChart1[[#This Row],[Kosten]]</f>
        <v>0</v>
      </c>
      <c r="Z14" s="523">
        <f>AnalysisChart1[[#This Row],[Kosten]]</f>
        <v>0</v>
      </c>
      <c r="AA14" s="523">
        <f>AnalysisChart1[[#This Row],[Kosten]]</f>
        <v>0</v>
      </c>
      <c r="AB14" s="523">
        <f>AnalysisChart1[[#This Row],[Kosten]]</f>
        <v>0</v>
      </c>
      <c r="AC14" s="523">
        <f>AnalysisChart1[[#This Row],[Kosten]]</f>
        <v>0</v>
      </c>
      <c r="AD14" s="523">
        <f>AnalysisChart1[[#This Row],[Kosten]]</f>
        <v>0</v>
      </c>
      <c r="AE14" s="526"/>
      <c r="AF14" s="523"/>
      <c r="AG14" s="523"/>
      <c r="AH14" s="523"/>
      <c r="AI14" s="523"/>
      <c r="AJ14" s="523"/>
      <c r="AK14" s="523"/>
      <c r="AL14" s="527"/>
      <c r="AM14" s="523"/>
      <c r="AN14" s="523"/>
      <c r="AO14" s="523"/>
      <c r="AP14" s="523"/>
      <c r="AQ14" s="523"/>
      <c r="AR14" s="523"/>
      <c r="AS14" s="523"/>
      <c r="AT14" s="523"/>
      <c r="AU14" s="523"/>
      <c r="AV14" s="523"/>
      <c r="AW14" s="526"/>
      <c r="AY14" s="519"/>
      <c r="AZ14" s="520"/>
      <c r="BA14" s="478" t="s">
        <v>1405</v>
      </c>
      <c r="BB14" s="476">
        <f>$D$8</f>
        <v>0</v>
      </c>
      <c r="BC14" s="479">
        <v>4</v>
      </c>
      <c r="BD14" s="531">
        <f t="shared" si="1"/>
        <v>12</v>
      </c>
      <c r="BE14" s="8"/>
      <c r="BF14" s="8"/>
      <c r="BG14" s="8"/>
      <c r="BH14" s="8"/>
      <c r="BI14" s="8"/>
      <c r="BN14" s="533"/>
      <c r="BO14" s="533"/>
      <c r="BP14" s="497">
        <f>AnalysisChart2[[#This Row],[Kosten]]</f>
        <v>0</v>
      </c>
      <c r="BQ14" s="523">
        <f>AnalysisChart2[[#This Row],[Kosten]]</f>
        <v>0</v>
      </c>
      <c r="BR14" s="523">
        <f>AnalysisChart2[[#This Row],[Kosten]]</f>
        <v>0</v>
      </c>
      <c r="BS14" s="523">
        <f>AnalysisChart2[[#This Row],[Kosten]]</f>
        <v>0</v>
      </c>
      <c r="BT14" s="528"/>
      <c r="BU14" s="523"/>
      <c r="BV14" s="523"/>
      <c r="BW14" s="523"/>
      <c r="BX14" s="523"/>
      <c r="BZ14" s="523"/>
      <c r="CA14" s="528"/>
      <c r="CB14" s="523"/>
      <c r="CC14" s="523"/>
      <c r="CD14" s="523"/>
      <c r="CE14" s="523"/>
      <c r="CF14" s="526"/>
    </row>
    <row r="15" spans="2:85">
      <c r="B15" s="558">
        <v>13</v>
      </c>
      <c r="C15" s="565" t="s">
        <v>1396</v>
      </c>
      <c r="D15" s="553"/>
      <c r="E15" s="579" t="s">
        <v>334</v>
      </c>
      <c r="F15" s="203"/>
      <c r="G15" s="519" t="s">
        <v>142</v>
      </c>
      <c r="H15" s="520" t="s">
        <v>142</v>
      </c>
      <c r="I15" s="521" t="s">
        <v>1400</v>
      </c>
      <c r="J15" s="889">
        <f>$D$13</f>
        <v>0</v>
      </c>
      <c r="K15" s="479">
        <v>5</v>
      </c>
      <c r="L15" s="522">
        <f>ROW()-ROW($L$2)</f>
        <v>13</v>
      </c>
      <c r="M15" s="8"/>
      <c r="N15" s="8"/>
      <c r="O15" s="8"/>
      <c r="P15" s="8"/>
      <c r="Y15" s="497">
        <f>AnalysisChart1[[#This Row],[Kosten]]</f>
        <v>0</v>
      </c>
      <c r="Z15" s="523">
        <f>AnalysisChart1[[#This Row],[Kosten]]</f>
        <v>0</v>
      </c>
      <c r="AA15" s="523">
        <f>AnalysisChart1[[#This Row],[Kosten]]</f>
        <v>0</v>
      </c>
      <c r="AB15" s="513"/>
      <c r="AE15" s="526"/>
      <c r="AL15" s="526"/>
      <c r="AR15" s="523"/>
      <c r="AS15" s="523"/>
      <c r="AT15" s="523"/>
      <c r="AU15" s="523"/>
      <c r="AV15" s="523"/>
      <c r="AW15" s="526"/>
      <c r="AY15" s="519"/>
      <c r="AZ15" s="520"/>
      <c r="BA15" s="478" t="s">
        <v>1401</v>
      </c>
      <c r="BB15" s="476">
        <f>$D$14</f>
        <v>0</v>
      </c>
      <c r="BC15" s="479">
        <v>4</v>
      </c>
      <c r="BD15" s="531">
        <f t="shared" si="1"/>
        <v>13</v>
      </c>
      <c r="BE15" s="8"/>
      <c r="BF15" s="8"/>
      <c r="BG15" s="8"/>
      <c r="BH15" s="8"/>
      <c r="BI15" s="8"/>
      <c r="BN15" s="533"/>
      <c r="BO15" s="533"/>
      <c r="BP15" s="533"/>
      <c r="BQ15" s="497">
        <f>AnalysisChart2[[#This Row],[Kosten]]</f>
        <v>0</v>
      </c>
      <c r="BR15" s="523">
        <f>AnalysisChart2[[#This Row],[Kosten]]</f>
        <v>0</v>
      </c>
      <c r="BS15" s="523">
        <f>AnalysisChart2[[#This Row],[Kosten]]</f>
        <v>0</v>
      </c>
      <c r="BT15" s="528"/>
      <c r="BU15" s="523"/>
      <c r="BV15" s="523"/>
      <c r="BW15" s="523"/>
      <c r="BX15" s="523"/>
      <c r="BZ15" s="523"/>
      <c r="CA15" s="528"/>
      <c r="CB15" s="534"/>
      <c r="CC15" s="523"/>
      <c r="CD15" s="523"/>
      <c r="CE15" s="535"/>
      <c r="CF15" s="526"/>
    </row>
    <row r="16" spans="2:85">
      <c r="B16" s="558">
        <v>14</v>
      </c>
      <c r="C16" s="566" t="s">
        <v>1402</v>
      </c>
      <c r="D16" s="553"/>
      <c r="E16" s="578" t="s">
        <v>142</v>
      </c>
      <c r="F16" s="203"/>
      <c r="G16" s="519" t="s">
        <v>142</v>
      </c>
      <c r="H16" s="520" t="s">
        <v>142</v>
      </c>
      <c r="I16" s="521" t="s">
        <v>1401</v>
      </c>
      <c r="J16" s="889">
        <f>$D$14</f>
        <v>0</v>
      </c>
      <c r="K16" s="479">
        <v>5</v>
      </c>
      <c r="L16" s="522">
        <f>ROW()-ROW($L$2)</f>
        <v>14</v>
      </c>
      <c r="M16" s="8"/>
      <c r="N16" s="8"/>
      <c r="O16" s="8"/>
      <c r="P16" s="8"/>
      <c r="Z16" s="497">
        <f>AnalysisChart1[[#This Row],[Kosten]]</f>
        <v>0</v>
      </c>
      <c r="AA16" s="523">
        <f>AnalysisChart1[[#This Row],[Kosten]]</f>
        <v>0</v>
      </c>
      <c r="AB16" s="524"/>
      <c r="AE16" s="526"/>
      <c r="AL16" s="526"/>
      <c r="AR16" s="523"/>
      <c r="AS16" s="523"/>
      <c r="AT16" s="523"/>
      <c r="AU16" s="523"/>
      <c r="AV16" s="523"/>
      <c r="AW16" s="526"/>
      <c r="AY16" s="519"/>
      <c r="AZ16" s="520"/>
      <c r="BA16" s="480" t="s">
        <v>1403</v>
      </c>
      <c r="BB16" s="476">
        <f>$D$17</f>
        <v>0</v>
      </c>
      <c r="BC16" s="479">
        <v>4</v>
      </c>
      <c r="BD16" s="522">
        <f>ROW()-ROW($L$2)</f>
        <v>14</v>
      </c>
      <c r="BE16" s="8"/>
      <c r="BF16" s="8"/>
      <c r="BG16" s="8"/>
      <c r="BH16" s="8"/>
      <c r="BI16" s="8"/>
      <c r="BR16" s="497">
        <f>AnalysisChart2[[#This Row],[Kosten]]</f>
        <v>0</v>
      </c>
      <c r="BS16" s="523">
        <f>AnalysisChart2[[#This Row],[Kosten]]</f>
        <v>0</v>
      </c>
      <c r="BT16" s="528"/>
      <c r="BU16" s="523"/>
      <c r="BZ16" s="497"/>
      <c r="CA16" s="528"/>
      <c r="CB16" s="534"/>
      <c r="CC16" s="523"/>
      <c r="CD16" s="533"/>
      <c r="CE16" s="536"/>
      <c r="CF16" s="526"/>
    </row>
    <row r="17" spans="2:84">
      <c r="B17" s="558">
        <v>15</v>
      </c>
      <c r="C17" s="564" t="s">
        <v>1403</v>
      </c>
      <c r="D17" s="553"/>
      <c r="E17" s="578" t="s">
        <v>142</v>
      </c>
      <c r="F17" s="203"/>
      <c r="G17" s="519" t="str">
        <f>IF(AND(ROUND(AnalysisChart1[[#This Row],[Kosten]],4)&gt;0,COUNTIF(H15:H16,"+")&gt;0),"x","-")</f>
        <v>-</v>
      </c>
      <c r="H17" s="520" t="str">
        <f>IF(AnalysisChart1[[#This Row],[ ]]&lt;&gt;"",AnalysisChart1[[#This Row],[ ]],"")</f>
        <v>-</v>
      </c>
      <c r="I17" s="529" t="s">
        <v>682</v>
      </c>
      <c r="J17" s="889" cm="1">
        <f t="array" ref="J17">J18-SUMPRODUCT((H15:H16="+")*1,J15:J16)</f>
        <v>0</v>
      </c>
      <c r="K17" s="479">
        <v>5</v>
      </c>
      <c r="L17" s="522">
        <f>ROW()-ROW($L$2)</f>
        <v>15</v>
      </c>
      <c r="M17" s="8"/>
      <c r="N17" s="8"/>
      <c r="O17" s="8"/>
      <c r="P17" s="8"/>
      <c r="AA17" s="497">
        <f>AnalysisChart1[[#This Row],[Kosten]]</f>
        <v>0</v>
      </c>
      <c r="AB17" s="526"/>
      <c r="AE17" s="526"/>
      <c r="AL17" s="526"/>
      <c r="AR17" s="523"/>
      <c r="AS17" s="523"/>
      <c r="AT17" s="523"/>
      <c r="AU17" s="523"/>
      <c r="AV17" s="523"/>
      <c r="AW17" s="526"/>
      <c r="AY17" s="519" t="str">
        <f>IF(AND(ROUND(AnalysisChart2[[#This Row],[Kosten]],4)&gt;0,COUNTIF(AZ13:AZ16,"+")&gt;0),"x","-")</f>
        <v>-</v>
      </c>
      <c r="AZ17" s="520" t="str">
        <f>IF(AnalysisChart2[[#This Row],[ ]]&lt;&gt;"",AnalysisChart2[[#This Row],[ ]],"")</f>
        <v>-</v>
      </c>
      <c r="BA17" s="483" t="s">
        <v>682</v>
      </c>
      <c r="BB17" s="476">
        <f>BB18-SUM(BB13:BB16)</f>
        <v>0</v>
      </c>
      <c r="BC17" s="479">
        <v>4</v>
      </c>
      <c r="BD17" s="522">
        <f>ROW()-ROW($L$2)</f>
        <v>15</v>
      </c>
      <c r="BE17" s="8"/>
      <c r="BF17" s="8"/>
      <c r="BG17" s="8"/>
      <c r="BH17" s="8"/>
      <c r="BI17" s="8"/>
      <c r="BS17" s="497">
        <f>AnalysisChart2[[#This Row],[Kosten]]</f>
        <v>0</v>
      </c>
      <c r="BT17" s="526"/>
      <c r="CA17" s="526"/>
      <c r="CB17" s="520"/>
      <c r="CE17" s="537"/>
      <c r="CF17" s="526"/>
    </row>
    <row r="18" spans="2:84">
      <c r="B18" s="558">
        <v>16</v>
      </c>
      <c r="C18" s="565" t="s">
        <v>1378</v>
      </c>
      <c r="D18" s="553"/>
      <c r="E18" s="579" t="s">
        <v>330</v>
      </c>
      <c r="F18" s="203"/>
      <c r="G18" s="519" t="str">
        <f>IF(COUNTIF(H15:H16,"+")&gt;0,"S","+")</f>
        <v>+</v>
      </c>
      <c r="H18" s="520" t="s">
        <v>131</v>
      </c>
      <c r="I18" s="530" t="s">
        <v>1396</v>
      </c>
      <c r="J18" s="895">
        <f>IF(AnalysisChart1[[#This Row],[  ]]="+",$D$15,0)</f>
        <v>0</v>
      </c>
      <c r="K18" s="481">
        <v>4</v>
      </c>
      <c r="L18" s="531">
        <f t="shared" si="0"/>
        <v>16</v>
      </c>
      <c r="M18" s="8"/>
      <c r="N18" s="8"/>
      <c r="O18" s="8"/>
      <c r="P18" s="8"/>
      <c r="Q18" s="5"/>
      <c r="R18" s="5"/>
      <c r="S18" s="5"/>
      <c r="T18" s="5"/>
      <c r="U18" s="533"/>
      <c r="V18" s="533"/>
      <c r="W18" s="533"/>
      <c r="X18" s="533"/>
      <c r="Y18" s="533"/>
      <c r="Z18" s="533"/>
      <c r="AA18" s="533"/>
      <c r="AB18" s="532">
        <f>AnalysisChart1[[#This Row],[Kosten]]</f>
        <v>0</v>
      </c>
      <c r="AC18" s="523">
        <f>AnalysisChart1[[#This Row],[Kosten]]</f>
        <v>0</v>
      </c>
      <c r="AD18" s="523">
        <f>AnalysisChart1[[#This Row],[Kosten]]</f>
        <v>0</v>
      </c>
      <c r="AE18" s="526"/>
      <c r="AF18" s="523"/>
      <c r="AG18" s="523"/>
      <c r="AH18" s="523"/>
      <c r="AI18" s="523"/>
      <c r="AJ18" s="523"/>
      <c r="AK18" s="523"/>
      <c r="AL18" s="527"/>
      <c r="AM18" s="523"/>
      <c r="AN18" s="523"/>
      <c r="AO18" s="523"/>
      <c r="AP18" s="523"/>
      <c r="AQ18" s="523"/>
      <c r="AR18" s="523"/>
      <c r="AS18" s="523"/>
      <c r="AT18" s="523"/>
      <c r="AU18" s="523"/>
      <c r="AV18" s="523"/>
      <c r="AW18" s="526"/>
      <c r="AY18" s="519" t="str">
        <f>IF(COUNTIF(AZ13:AZ16,"+")&gt;0,"S","+")</f>
        <v>+</v>
      </c>
      <c r="AZ18" s="520" t="s">
        <v>131</v>
      </c>
      <c r="BA18" s="484" t="s">
        <v>440</v>
      </c>
      <c r="BB18" s="476">
        <f>$D$8+$D$10+$D$14+$D$17</f>
        <v>0</v>
      </c>
      <c r="BC18" s="479">
        <v>3</v>
      </c>
      <c r="BD18" s="522">
        <f>ROW()-ROW($L$2)</f>
        <v>16</v>
      </c>
      <c r="BE18" s="8"/>
      <c r="BF18" s="8"/>
      <c r="BG18" s="8"/>
      <c r="BH18" s="8"/>
      <c r="BI18" s="8"/>
      <c r="BT18" s="538">
        <f>AnalysisChart2[[#This Row],[Kosten]]</f>
        <v>0</v>
      </c>
      <c r="BU18" s="523">
        <f>AnalysisChart2[[#This Row],[Kosten]]</f>
        <v>0</v>
      </c>
      <c r="BV18" s="523">
        <f>AnalysisChart2[[#This Row],[Kosten]]</f>
        <v>0</v>
      </c>
      <c r="BW18" s="523">
        <f>AnalysisChart2[[#This Row],[Kosten]]</f>
        <v>0</v>
      </c>
      <c r="BX18" s="523">
        <f>AnalysisChart2[[#This Row],[Kosten]]</f>
        <v>0</v>
      </c>
      <c r="BY18" s="523">
        <f>AnalysisChart2[[#This Row],[Kosten]]</f>
        <v>0</v>
      </c>
      <c r="BZ18" s="523">
        <f>AnalysisChart2[[#This Row],[Kosten]]</f>
        <v>0</v>
      </c>
      <c r="CA18" s="526"/>
      <c r="CB18" s="520"/>
      <c r="CE18" s="537"/>
      <c r="CF18" s="526"/>
    </row>
    <row r="19" spans="2:84">
      <c r="B19" s="558">
        <v>17</v>
      </c>
      <c r="C19" s="565" t="s">
        <v>155</v>
      </c>
      <c r="D19" s="553"/>
      <c r="E19" s="579" t="s">
        <v>329</v>
      </c>
      <c r="F19" s="203"/>
      <c r="G19" s="519" t="s">
        <v>131</v>
      </c>
      <c r="H19" s="520" t="s">
        <v>131</v>
      </c>
      <c r="I19" s="480" t="s">
        <v>1378</v>
      </c>
      <c r="J19" s="890">
        <f>$D$18</f>
        <v>0</v>
      </c>
      <c r="K19" s="479">
        <v>4</v>
      </c>
      <c r="L19" s="531">
        <f t="shared" si="0"/>
        <v>17</v>
      </c>
      <c r="M19" s="8"/>
      <c r="N19" s="8"/>
      <c r="O19" s="8"/>
      <c r="P19" s="8"/>
      <c r="Q19" s="5"/>
      <c r="R19" s="5"/>
      <c r="S19" s="5"/>
      <c r="T19" s="5"/>
      <c r="U19" s="533"/>
      <c r="V19" s="533"/>
      <c r="W19" s="533"/>
      <c r="X19" s="533"/>
      <c r="Y19" s="533"/>
      <c r="Z19" s="533"/>
      <c r="AA19" s="533"/>
      <c r="AB19" s="533"/>
      <c r="AC19" s="497">
        <f>AnalysisChart1[[#This Row],[Kosten]]</f>
        <v>0</v>
      </c>
      <c r="AD19" s="523">
        <f>AnalysisChart1[[#This Row],[Kosten]]</f>
        <v>0</v>
      </c>
      <c r="AE19" s="526"/>
      <c r="AF19" s="523"/>
      <c r="AG19" s="523"/>
      <c r="AH19" s="523"/>
      <c r="AI19" s="523"/>
      <c r="AJ19" s="523"/>
      <c r="AK19" s="523"/>
      <c r="AL19" s="527"/>
      <c r="AM19" s="523"/>
      <c r="AN19" s="523"/>
      <c r="AO19" s="523"/>
      <c r="AP19" s="523"/>
      <c r="AQ19" s="523"/>
      <c r="AR19" s="523"/>
      <c r="AS19" s="523"/>
      <c r="AT19" s="523"/>
      <c r="AU19" s="523"/>
      <c r="AV19" s="523"/>
      <c r="AW19" s="526"/>
      <c r="AY19" s="519"/>
      <c r="AZ19" s="520"/>
      <c r="BA19" s="478" t="s">
        <v>168</v>
      </c>
      <c r="BB19" s="482">
        <f>$D$20</f>
        <v>0</v>
      </c>
      <c r="BC19" s="479">
        <v>4</v>
      </c>
      <c r="BD19" s="539">
        <f t="shared" si="1"/>
        <v>17</v>
      </c>
      <c r="BE19" s="8"/>
      <c r="BF19" s="8"/>
      <c r="BG19" s="8"/>
      <c r="BH19" s="8"/>
      <c r="BI19" s="8"/>
      <c r="BU19" s="497">
        <f>AnalysisChart2[[#This Row],[Kosten]]</f>
        <v>0</v>
      </c>
      <c r="BV19" s="523">
        <f>AnalysisChart2[[#This Row],[Kosten]]</f>
        <v>0</v>
      </c>
      <c r="BW19" s="523">
        <f>AnalysisChart2[[#This Row],[Kosten]]</f>
        <v>0</v>
      </c>
      <c r="BX19" s="523">
        <f>AnalysisChart2[[#This Row],[Kosten]]</f>
        <v>0</v>
      </c>
      <c r="BY19" s="515"/>
      <c r="CA19" s="526"/>
      <c r="CB19" s="520"/>
      <c r="CE19" s="537"/>
      <c r="CF19" s="526"/>
    </row>
    <row r="20" spans="2:84">
      <c r="B20" s="558">
        <v>18</v>
      </c>
      <c r="C20" s="565" t="s">
        <v>168</v>
      </c>
      <c r="D20" s="553"/>
      <c r="E20" s="580" t="s">
        <v>324</v>
      </c>
      <c r="F20" s="203"/>
      <c r="G20" s="519" t="str">
        <f>IF(AND(ROUND(AnalysisChart1[[#This Row],[Kosten]],4)&gt;0,COUNTA(H19,H18,H14,H13,H12,H11,H7)&gt;0),"x","-")</f>
        <v>-</v>
      </c>
      <c r="H20" s="520" t="str">
        <f>IF(AnalysisChart1[[#This Row],[ ]]&lt;&gt;"",AnalysisChart1[[#This Row],[ ]],"")</f>
        <v>-</v>
      </c>
      <c r="I20" s="529" t="s">
        <v>682</v>
      </c>
      <c r="J20" s="889">
        <f>J21-SUMIF($K$2:INDEX($K:$K,ROW()-1),AnalysisChart1[[#This Row],[+]],$J$2:INDEX($J:$J,ROW()-1))</f>
        <v>0</v>
      </c>
      <c r="K20" s="479">
        <v>4</v>
      </c>
      <c r="L20" s="522">
        <f>ROW()-ROW($L$2)</f>
        <v>18</v>
      </c>
      <c r="M20" s="8"/>
      <c r="N20" s="8"/>
      <c r="O20" s="8"/>
      <c r="P20" s="8"/>
      <c r="AD20" s="497">
        <f>AnalysisChart1[[#This Row],[Kosten]]</f>
        <v>0</v>
      </c>
      <c r="AE20" s="526"/>
      <c r="AL20" s="526"/>
      <c r="AR20" s="523"/>
      <c r="AS20" s="523"/>
      <c r="AT20" s="523"/>
      <c r="AU20" s="523"/>
      <c r="AV20" s="523"/>
      <c r="AW20" s="526"/>
      <c r="AY20" s="519"/>
      <c r="AZ20" s="520"/>
      <c r="BA20" s="485" t="s">
        <v>168</v>
      </c>
      <c r="BB20" s="482">
        <f>$D$21</f>
        <v>5.5660995337293304</v>
      </c>
      <c r="BC20" s="479">
        <v>4</v>
      </c>
      <c r="BD20" s="539">
        <f>BD19</f>
        <v>17</v>
      </c>
      <c r="BE20" s="8"/>
      <c r="BF20" s="8"/>
      <c r="BG20" s="8"/>
      <c r="BH20" s="8"/>
      <c r="BI20" s="8"/>
      <c r="BU20" s="497">
        <f>AnalysisChart2[[#This Row],[Kosten]]</f>
        <v>5.5660995337293304</v>
      </c>
      <c r="BV20" s="523">
        <f>AnalysisChart2[[#This Row],[Kosten]]</f>
        <v>5.5660995337293304</v>
      </c>
      <c r="BW20" s="523">
        <f>AnalysisChart2[[#This Row],[Kosten]]</f>
        <v>5.5660995337293304</v>
      </c>
      <c r="BX20" s="523">
        <f>AnalysisChart2[[#This Row],[Kosten]]</f>
        <v>5.5660995337293304</v>
      </c>
      <c r="BY20" s="526"/>
      <c r="CA20" s="526"/>
      <c r="CB20" s="520"/>
      <c r="CE20" s="537"/>
      <c r="CF20" s="526"/>
    </row>
    <row r="21" spans="2:84">
      <c r="B21" s="558">
        <v>19</v>
      </c>
      <c r="C21" s="564" t="s">
        <v>168</v>
      </c>
      <c r="D21" s="553">
        <f>5.56609953372933/1*1</f>
        <v>5.5660995337293304</v>
      </c>
      <c r="E21" s="578" t="s">
        <v>142</v>
      </c>
      <c r="F21" s="203"/>
      <c r="G21" s="519" t="str">
        <f>IF(COUNTA(H19,H18,H14,H13,H12,H11,H7)&gt;0,"S","+")</f>
        <v>S</v>
      </c>
      <c r="H21" s="520" t="s">
        <v>131</v>
      </c>
      <c r="I21" s="540" t="s">
        <v>155</v>
      </c>
      <c r="J21" s="894">
        <f>$D$19</f>
        <v>0</v>
      </c>
      <c r="K21" s="481">
        <v>3</v>
      </c>
      <c r="L21" s="531">
        <f t="shared" si="0"/>
        <v>19</v>
      </c>
      <c r="M21" s="8"/>
      <c r="N21" s="8"/>
      <c r="O21" s="8"/>
      <c r="P21" s="8"/>
      <c r="AE21" s="532">
        <f>AnalysisChart1[[#This Row],[Kosten]]</f>
        <v>0</v>
      </c>
      <c r="AF21" s="523">
        <f>AnalysisChart1[[#This Row],[Kosten]]</f>
        <v>0</v>
      </c>
      <c r="AG21" s="523">
        <f>AnalysisChart1[[#This Row],[Kosten]]</f>
        <v>0</v>
      </c>
      <c r="AH21" s="523">
        <f>AnalysisChart1[[#This Row],[Kosten]]</f>
        <v>0</v>
      </c>
      <c r="AI21" s="523">
        <f>AnalysisChart1[[#This Row],[Kosten]]</f>
        <v>0</v>
      </c>
      <c r="AJ21" s="523">
        <f>AnalysisChart1[[#This Row],[Kosten]]</f>
        <v>0</v>
      </c>
      <c r="AK21" s="523">
        <f>AnalysisChart1[[#This Row],[Kosten]]</f>
        <v>0</v>
      </c>
      <c r="AL21" s="527"/>
      <c r="AM21" s="523"/>
      <c r="AN21" s="523"/>
      <c r="AO21" s="523"/>
      <c r="AP21" s="523"/>
      <c r="AQ21" s="523"/>
      <c r="AR21" s="523"/>
      <c r="AS21" s="523"/>
      <c r="AT21" s="523"/>
      <c r="AU21" s="523"/>
      <c r="AV21" s="523"/>
      <c r="AW21" s="526"/>
      <c r="AY21" s="519"/>
      <c r="AZ21" s="520"/>
      <c r="BA21" s="478" t="s">
        <v>173</v>
      </c>
      <c r="BB21" s="482">
        <f>$D$22</f>
        <v>0.11132199067458701</v>
      </c>
      <c r="BC21" s="479">
        <v>4</v>
      </c>
      <c r="BD21" s="522">
        <f t="shared" si="1"/>
        <v>19</v>
      </c>
      <c r="BE21" s="8"/>
      <c r="BF21" s="8"/>
      <c r="BG21" s="8"/>
      <c r="BH21" s="8"/>
      <c r="BI21" s="8"/>
      <c r="BV21" s="497">
        <f>AnalysisChart2[[#This Row],[Kosten]]</f>
        <v>0.11132199067458701</v>
      </c>
      <c r="BW21" s="523">
        <f>AnalysisChart2[[#This Row],[Kosten]]</f>
        <v>0.11132199067458701</v>
      </c>
      <c r="BX21" s="523">
        <f>AnalysisChart2[[#This Row],[Kosten]]</f>
        <v>0.11132199067458701</v>
      </c>
      <c r="BY21" s="526"/>
      <c r="CA21" s="526"/>
      <c r="CB21" s="520"/>
      <c r="CE21" s="537"/>
      <c r="CF21" s="526"/>
    </row>
    <row r="22" spans="2:84">
      <c r="B22" s="558">
        <v>20</v>
      </c>
      <c r="C22" s="565" t="s">
        <v>1392</v>
      </c>
      <c r="D22" s="553">
        <f>0.111321990674587/1*1</f>
        <v>0.11132199067458701</v>
      </c>
      <c r="E22" s="579" t="s">
        <v>321</v>
      </c>
      <c r="F22" s="203"/>
      <c r="G22" s="519" t="s">
        <v>131</v>
      </c>
      <c r="H22" s="520" t="s">
        <v>131</v>
      </c>
      <c r="I22" s="480" t="s">
        <v>168</v>
      </c>
      <c r="J22" s="890">
        <f>$D$20</f>
        <v>0</v>
      </c>
      <c r="K22" s="479">
        <v>4</v>
      </c>
      <c r="L22" s="541">
        <f t="shared" si="0"/>
        <v>20</v>
      </c>
      <c r="M22" s="8"/>
      <c r="N22" s="8"/>
      <c r="O22" s="8"/>
      <c r="P22" s="8"/>
      <c r="AF22" s="497">
        <f>AnalysisChart1[[#This Row],[Kosten]]</f>
        <v>0</v>
      </c>
      <c r="AG22" s="523">
        <f>AnalysisChart1[[#This Row],[Kosten]]</f>
        <v>0</v>
      </c>
      <c r="AH22" s="523">
        <f>AnalysisChart1[[#This Row],[Kosten]]</f>
        <v>0</v>
      </c>
      <c r="AI22" s="523">
        <f>AnalysisChart1[[#This Row],[Kosten]]</f>
        <v>0</v>
      </c>
      <c r="AJ22" s="516"/>
      <c r="AK22" s="527"/>
      <c r="AL22" s="527"/>
      <c r="AM22" s="523"/>
      <c r="AN22" s="523"/>
      <c r="AO22" s="523"/>
      <c r="AP22" s="523"/>
      <c r="AQ22" s="523"/>
      <c r="AR22" s="523"/>
      <c r="AS22" s="523"/>
      <c r="AT22" s="523"/>
      <c r="AU22" s="523"/>
      <c r="AV22" s="523"/>
      <c r="AW22" s="526"/>
      <c r="AY22" s="519"/>
      <c r="AZ22" s="520"/>
      <c r="BA22" s="478" t="s">
        <v>283</v>
      </c>
      <c r="BB22" s="482">
        <f>$D$23</f>
        <v>4.5198565207434503E-2</v>
      </c>
      <c r="BC22" s="479">
        <v>4</v>
      </c>
      <c r="BD22" s="522">
        <f>ROW()-ROW($L$2)</f>
        <v>20</v>
      </c>
      <c r="BE22" s="8"/>
      <c r="BF22" s="8"/>
      <c r="BG22" s="8"/>
      <c r="BH22" s="8"/>
      <c r="BI22" s="8"/>
      <c r="BW22" s="497">
        <f>AnalysisChart2[[#This Row],[Kosten]]</f>
        <v>4.5198565207434503E-2</v>
      </c>
      <c r="BX22" s="523">
        <f>AnalysisChart2[[#This Row],[Kosten]]</f>
        <v>4.5198565207434503E-2</v>
      </c>
      <c r="BY22" s="526"/>
      <c r="CA22" s="526"/>
      <c r="CB22" s="520"/>
      <c r="CE22" s="537"/>
      <c r="CF22" s="526"/>
    </row>
    <row r="23" spans="2:84">
      <c r="B23" s="558">
        <v>21</v>
      </c>
      <c r="C23" s="565" t="s">
        <v>283</v>
      </c>
      <c r="D23" s="553">
        <f>0.0451985652074345/1*1</f>
        <v>4.5198565207434503E-2</v>
      </c>
      <c r="E23" s="579" t="s">
        <v>319</v>
      </c>
      <c r="F23" s="203"/>
      <c r="G23" s="519" t="s">
        <v>131</v>
      </c>
      <c r="H23" s="520" t="s">
        <v>131</v>
      </c>
      <c r="I23" s="542" t="s">
        <v>168</v>
      </c>
      <c r="J23" s="892">
        <f>$D$21</f>
        <v>5.5660995337293304</v>
      </c>
      <c r="K23" s="479">
        <v>4</v>
      </c>
      <c r="L23" s="539">
        <f>L22</f>
        <v>20</v>
      </c>
      <c r="M23" s="8"/>
      <c r="N23" s="8"/>
      <c r="O23" s="8"/>
      <c r="P23" s="8"/>
      <c r="AF23" s="497">
        <f>AnalysisChart1[[#This Row],[Kosten]]</f>
        <v>5.5660995337293304</v>
      </c>
      <c r="AG23" s="523">
        <f>AnalysisChart1[[#This Row],[Kosten]]</f>
        <v>5.5660995337293304</v>
      </c>
      <c r="AH23" s="523">
        <f>AnalysisChart1[[#This Row],[Kosten]]</f>
        <v>5.5660995337293304</v>
      </c>
      <c r="AI23" s="523">
        <f>AnalysisChart1[[#This Row],[Kosten]]</f>
        <v>5.5660995337293304</v>
      </c>
      <c r="AJ23" s="527"/>
      <c r="AK23" s="527"/>
      <c r="AL23" s="527"/>
      <c r="AR23" s="523"/>
      <c r="AS23" s="523"/>
      <c r="AT23" s="523"/>
      <c r="AU23" s="523"/>
      <c r="AV23" s="523"/>
      <c r="AW23" s="526"/>
      <c r="AY23" s="519" t="str">
        <f>IF(AND(ROUND(AnalysisChart2[[#This Row],[Kosten]],4)&gt;0,COUNTIF(AZ19:AZ22,"+")&gt;0),"x","-")</f>
        <v>-</v>
      </c>
      <c r="AZ23" s="520" t="str">
        <f>IF(AnalysisChart2[[#This Row],[ ]]&lt;&gt;"",AnalysisChart2[[#This Row],[ ]],"")</f>
        <v>-</v>
      </c>
      <c r="BA23" s="483" t="s">
        <v>682</v>
      </c>
      <c r="BB23" s="476">
        <f>BB24-SUM(BB19:BB22)</f>
        <v>0</v>
      </c>
      <c r="BC23" s="479">
        <v>4</v>
      </c>
      <c r="BD23" s="522">
        <f t="shared" si="1"/>
        <v>21</v>
      </c>
      <c r="BE23" s="8"/>
      <c r="BF23" s="8"/>
      <c r="BG23" s="8"/>
      <c r="BH23" s="8"/>
      <c r="BI23" s="8"/>
      <c r="BX23" s="497">
        <f>AnalysisChart2[[#This Row],[Kosten]]</f>
        <v>0</v>
      </c>
      <c r="BY23" s="526"/>
      <c r="CA23" s="526"/>
      <c r="CB23" s="520"/>
      <c r="CE23" s="537"/>
      <c r="CF23" s="526"/>
    </row>
    <row r="24" spans="2:84">
      <c r="B24" s="558">
        <v>22</v>
      </c>
      <c r="C24" s="565" t="s">
        <v>152</v>
      </c>
      <c r="D24" s="553">
        <f>5.72262008961135/1*1</f>
        <v>5.7226200896113504</v>
      </c>
      <c r="E24" s="579" t="s">
        <v>318</v>
      </c>
      <c r="F24" s="203"/>
      <c r="G24" s="519" t="s">
        <v>131</v>
      </c>
      <c r="H24" s="520" t="s">
        <v>131</v>
      </c>
      <c r="I24" s="480" t="s">
        <v>1392</v>
      </c>
      <c r="J24" s="890">
        <f>$D$22</f>
        <v>0.11132199067458701</v>
      </c>
      <c r="K24" s="479">
        <v>4</v>
      </c>
      <c r="L24" s="531">
        <f t="shared" si="0"/>
        <v>22</v>
      </c>
      <c r="M24" s="8"/>
      <c r="N24" s="8"/>
      <c r="O24" s="8"/>
      <c r="P24" s="8"/>
      <c r="AG24" s="497">
        <f>AnalysisChart1[[#This Row],[Kosten]]</f>
        <v>0.11132199067458701</v>
      </c>
      <c r="AH24" s="523">
        <f>AnalysisChart1[[#This Row],[Kosten]]</f>
        <v>0.11132199067458701</v>
      </c>
      <c r="AI24" s="523">
        <f>AnalysisChart1[[#This Row],[Kosten]]</f>
        <v>0.11132199067458701</v>
      </c>
      <c r="AJ24" s="527"/>
      <c r="AK24" s="527"/>
      <c r="AL24" s="527"/>
      <c r="AM24" s="523"/>
      <c r="AN24" s="523"/>
      <c r="AO24" s="523"/>
      <c r="AP24" s="523"/>
      <c r="AQ24" s="523"/>
      <c r="AR24" s="523"/>
      <c r="AS24" s="523"/>
      <c r="AT24" s="523"/>
      <c r="AU24" s="523"/>
      <c r="AV24" s="523"/>
      <c r="AW24" s="526"/>
      <c r="AY24" s="519" t="str">
        <f>IF(COUNTIF(AZ19:AZ22,"+")&gt;0,"S","+")</f>
        <v>+</v>
      </c>
      <c r="AZ24" s="520" t="s">
        <v>131</v>
      </c>
      <c r="BA24" s="484" t="s">
        <v>694</v>
      </c>
      <c r="BB24" s="476">
        <f>SUM($D$20:$D$23)</f>
        <v>5.7226200896113522</v>
      </c>
      <c r="BC24" s="479">
        <v>3</v>
      </c>
      <c r="BD24" s="522">
        <f>ROW()-ROW($L$2)</f>
        <v>22</v>
      </c>
      <c r="BE24" s="8"/>
      <c r="BF24" s="8"/>
      <c r="BG24" s="8"/>
      <c r="BH24" s="8"/>
      <c r="BI24" s="8"/>
      <c r="BY24" s="532">
        <f>AnalysisChart2[[#This Row],[Kosten]]</f>
        <v>5.7226200896113522</v>
      </c>
      <c r="BZ24" s="523">
        <f>AnalysisChart2[[#This Row],[Kosten]]</f>
        <v>5.7226200896113522</v>
      </c>
      <c r="CA24" s="526"/>
      <c r="CB24" s="520"/>
      <c r="CE24" s="537"/>
      <c r="CF24" s="526"/>
    </row>
    <row r="25" spans="2:84">
      <c r="B25" s="558">
        <v>23</v>
      </c>
      <c r="C25" s="565" t="s">
        <v>169</v>
      </c>
      <c r="D25" s="553">
        <f>5.72262008961135/1*1</f>
        <v>5.7226200896113504</v>
      </c>
      <c r="E25" s="579" t="s">
        <v>317</v>
      </c>
      <c r="F25" s="203"/>
      <c r="G25" s="519" t="s">
        <v>131</v>
      </c>
      <c r="H25" s="520" t="s">
        <v>131</v>
      </c>
      <c r="I25" s="480" t="s">
        <v>283</v>
      </c>
      <c r="J25" s="890">
        <f>$D$23</f>
        <v>4.5198565207434503E-2</v>
      </c>
      <c r="K25" s="479">
        <v>4</v>
      </c>
      <c r="L25" s="531">
        <f t="shared" si="0"/>
        <v>23</v>
      </c>
      <c r="M25" s="8"/>
      <c r="N25" s="8"/>
      <c r="O25" s="8"/>
      <c r="P25" s="8"/>
      <c r="AH25" s="497">
        <f>AnalysisChart1[[#This Row],[Kosten]]</f>
        <v>4.5198565207434503E-2</v>
      </c>
      <c r="AI25" s="523">
        <f>AnalysisChart1[[#This Row],[Kosten]]</f>
        <v>4.5198565207434503E-2</v>
      </c>
      <c r="AJ25" s="527"/>
      <c r="AK25" s="527"/>
      <c r="AL25" s="527"/>
      <c r="AM25" s="523"/>
      <c r="AN25" s="523"/>
      <c r="AO25" s="523"/>
      <c r="AP25" s="523"/>
      <c r="AQ25" s="523"/>
      <c r="AR25" s="523"/>
      <c r="AS25" s="523"/>
      <c r="AT25" s="523"/>
      <c r="AU25" s="523"/>
      <c r="AV25" s="523"/>
      <c r="AW25" s="526"/>
      <c r="AY25" s="519" t="str">
        <f>IF(AND(ROUND(AnalysisChart2[[#This Row],[Kosten]],4)&gt;0,COUNTA(AZ12,AZ18,AZ24)&gt;0),"x","-")</f>
        <v>-</v>
      </c>
      <c r="AZ25" s="520" t="str">
        <f>IF(AnalysisChart2[[#This Row],[ ]]&lt;&gt;"",AnalysisChart2[[#This Row],[ ]],"")</f>
        <v>-</v>
      </c>
      <c r="BA25" s="486" t="s">
        <v>682</v>
      </c>
      <c r="BB25" s="476">
        <f>BB26-SUMIF(BC$2:INDEX(BC:BC,ROW()-1),AnalysisChart2[[#This Row],[+]],BB$2:INDEX(BB:BB,ROW()-1))</f>
        <v>0</v>
      </c>
      <c r="BC25" s="479">
        <v>3</v>
      </c>
      <c r="BD25" s="522">
        <f t="shared" si="1"/>
        <v>23</v>
      </c>
      <c r="BE25" s="8"/>
      <c r="BF25" s="8"/>
      <c r="BG25" s="8"/>
      <c r="BH25" s="8"/>
      <c r="BI25" s="8"/>
      <c r="BZ25" s="497">
        <f>AnalysisChart2[[#This Row],[Kosten]]</f>
        <v>0</v>
      </c>
      <c r="CA25" s="526"/>
      <c r="CB25" s="520"/>
      <c r="CE25" s="537"/>
      <c r="CF25" s="526"/>
    </row>
    <row r="26" spans="2:84">
      <c r="B26" s="558">
        <v>24</v>
      </c>
      <c r="C26" s="565" t="s">
        <v>174</v>
      </c>
      <c r="D26" s="553"/>
      <c r="E26" s="579" t="s">
        <v>315</v>
      </c>
      <c r="F26" s="203"/>
      <c r="G26" s="519" t="str">
        <f>IF(AND(ROUND(AnalysisChart1[[#This Row],[Kosten]],4)&gt;0,COUNTIF(H22:H25,"+")&gt;0),"x","-")</f>
        <v>-</v>
      </c>
      <c r="H26" s="520" t="str">
        <f>IF(AnalysisChart1[[#This Row],[ ]]&lt;&gt;"",AnalysisChart1[[#This Row],[ ]],"")</f>
        <v>-</v>
      </c>
      <c r="I26" s="483" t="s">
        <v>682</v>
      </c>
      <c r="J26" s="889" cm="1">
        <f t="array" ref="J26">J27-SUMPRODUCT((H22:H25="+")*1,J22:J25)</f>
        <v>0</v>
      </c>
      <c r="K26" s="479">
        <v>4</v>
      </c>
      <c r="L26" s="522">
        <f>ROW()-ROW($L$2)</f>
        <v>24</v>
      </c>
      <c r="M26" s="8"/>
      <c r="N26" s="8"/>
      <c r="O26" s="8"/>
      <c r="P26" s="8"/>
      <c r="AI26" s="497">
        <f>AnalysisChart1[[#This Row],[Kosten]]</f>
        <v>0</v>
      </c>
      <c r="AJ26" s="526"/>
      <c r="AK26" s="526"/>
      <c r="AL26" s="526"/>
      <c r="AR26" s="523"/>
      <c r="AS26" s="523"/>
      <c r="AT26" s="523"/>
      <c r="AU26" s="523"/>
      <c r="AV26" s="523"/>
      <c r="AW26" s="526"/>
      <c r="AY26" s="519" t="str">
        <f>IF(COUNTA(AZ12,AZ18,AZ24)&gt;0,"S","+")</f>
        <v>S</v>
      </c>
      <c r="AZ26" s="520" t="s">
        <v>131</v>
      </c>
      <c r="BA26" s="487" t="s">
        <v>693</v>
      </c>
      <c r="BB26" s="476">
        <f>SUM(BB12,BB18,BB24)</f>
        <v>5.7226200896113522</v>
      </c>
      <c r="BC26" s="479">
        <v>2</v>
      </c>
      <c r="BD26" s="522">
        <f t="shared" si="1"/>
        <v>24</v>
      </c>
      <c r="BE26" s="8"/>
      <c r="BF26" s="8"/>
      <c r="BG26" s="8"/>
      <c r="BH26" s="8"/>
      <c r="BI26" s="8"/>
      <c r="CA26" s="532">
        <f>AnalysisChart2[[#This Row],[Kosten]]</f>
        <v>5.7226200896113522</v>
      </c>
      <c r="CB26" s="523">
        <f>AnalysisChart2[[#This Row],[Kosten]]</f>
        <v>5.7226200896113522</v>
      </c>
      <c r="CC26" s="523">
        <f>AnalysisChart2[[#This Row],[Kosten]]</f>
        <v>5.7226200896113522</v>
      </c>
      <c r="CD26" s="523">
        <f>AnalysisChart2[[#This Row],[Kosten]]</f>
        <v>5.7226200896113522</v>
      </c>
      <c r="CE26" s="523">
        <f>AnalysisChart2[[#This Row],[Kosten]]</f>
        <v>5.7226200896113522</v>
      </c>
      <c r="CF26" s="526"/>
    </row>
    <row r="27" spans="2:84">
      <c r="B27" s="558">
        <v>25</v>
      </c>
      <c r="C27" s="565" t="s">
        <v>175</v>
      </c>
      <c r="D27" s="553"/>
      <c r="E27" s="579" t="s">
        <v>313</v>
      </c>
      <c r="F27" s="203"/>
      <c r="G27" s="519" t="str">
        <f>IF(COUNTIF(H22:H25,"+")&gt;0,"S","+")</f>
        <v>S</v>
      </c>
      <c r="H27" s="520" t="s">
        <v>131</v>
      </c>
      <c r="I27" s="540" t="s">
        <v>152</v>
      </c>
      <c r="J27" s="893">
        <f>$D$24</f>
        <v>5.7226200896113504</v>
      </c>
      <c r="K27" s="481">
        <v>3</v>
      </c>
      <c r="L27" s="531">
        <f t="shared" si="0"/>
        <v>25</v>
      </c>
      <c r="M27" s="8"/>
      <c r="N27" s="8"/>
      <c r="O27" s="8"/>
      <c r="P27" s="8"/>
      <c r="AJ27" s="532">
        <f>AnalysisChart1[[#This Row],[Kosten]]</f>
        <v>5.7226200896113504</v>
      </c>
      <c r="AK27" s="523">
        <f>AnalysisChart1[[#This Row],[Kosten]]</f>
        <v>5.7226200896113504</v>
      </c>
      <c r="AL27" s="527"/>
      <c r="AM27" s="523"/>
      <c r="AN27" s="523"/>
      <c r="AO27" s="523"/>
      <c r="AP27" s="523"/>
      <c r="AQ27" s="523"/>
      <c r="AR27" s="523"/>
      <c r="AS27" s="523"/>
      <c r="AT27" s="523"/>
      <c r="AU27" s="523"/>
      <c r="AV27" s="523"/>
      <c r="AW27" s="526"/>
      <c r="AY27" s="519" t="s">
        <v>131</v>
      </c>
      <c r="AZ27" s="520"/>
      <c r="BA27" s="488" t="s">
        <v>210</v>
      </c>
      <c r="BB27" s="476">
        <f>SUM($D$26:$D$28)</f>
        <v>0.228904803584454</v>
      </c>
      <c r="BC27" s="479">
        <v>2</v>
      </c>
      <c r="BD27" s="522">
        <f t="shared" si="1"/>
        <v>25</v>
      </c>
      <c r="BE27" s="8"/>
      <c r="BF27" s="8"/>
      <c r="BG27" s="8"/>
      <c r="BH27" s="8"/>
      <c r="BI27" s="8"/>
      <c r="CB27" s="497">
        <f>AnalysisChart2[[#This Row],[Kosten]]</f>
        <v>0.228904803584454</v>
      </c>
      <c r="CC27" s="523">
        <f>AnalysisChart2[[#This Row],[Kosten]]</f>
        <v>0.228904803584454</v>
      </c>
      <c r="CD27" s="523">
        <f>AnalysisChart2[[#This Row],[Kosten]]</f>
        <v>0.228904803584454</v>
      </c>
      <c r="CE27" s="523">
        <f>AnalysisChart2[[#This Row],[Kosten]]</f>
        <v>0.228904803584454</v>
      </c>
      <c r="CF27" s="526"/>
    </row>
    <row r="28" spans="2:84">
      <c r="B28" s="558">
        <v>26</v>
      </c>
      <c r="C28" s="565" t="s">
        <v>210</v>
      </c>
      <c r="D28" s="553">
        <f>0.228904803584454/1*1</f>
        <v>0.228904803584454</v>
      </c>
      <c r="E28" s="579" t="s">
        <v>311</v>
      </c>
      <c r="F28" s="203"/>
      <c r="G28" s="519" t="str">
        <f>IF(AND(ROUND(AnalysisChart1[[#This Row],[Kosten]],4)&gt;0,COUNTA(H27,H21)&gt;0),"x","-")</f>
        <v>-</v>
      </c>
      <c r="H28" s="520" t="str">
        <f>IF(AnalysisChart1[[#This Row],[ ]]&lt;&gt;"",AnalysisChart1[[#This Row],[ ]],"")</f>
        <v>-</v>
      </c>
      <c r="I28" s="483" t="s">
        <v>682</v>
      </c>
      <c r="J28" s="889">
        <f>J29-SUMIF(K$2:INDEX(K:K,ROW()-1),AnalysisChart1[[#This Row],[+]],J$2:INDEX(J:J,ROW()-1))</f>
        <v>0</v>
      </c>
      <c r="K28" s="479">
        <v>3</v>
      </c>
      <c r="L28" s="522">
        <f>ROW()-ROW($L$2)</f>
        <v>26</v>
      </c>
      <c r="M28" s="8"/>
      <c r="N28" s="8"/>
      <c r="O28" s="8"/>
      <c r="P28" s="8"/>
      <c r="AK28" s="497">
        <f>AnalysisChart1[[#This Row],[Kosten]]</f>
        <v>0</v>
      </c>
      <c r="AL28" s="526"/>
      <c r="AR28" s="523"/>
      <c r="AS28" s="523"/>
      <c r="AT28" s="523"/>
      <c r="AU28" s="523"/>
      <c r="AV28" s="523"/>
      <c r="AW28" s="526"/>
      <c r="AY28" s="519" t="s">
        <v>131</v>
      </c>
      <c r="AZ28" s="520"/>
      <c r="BA28" s="488" t="s">
        <v>209</v>
      </c>
      <c r="BB28" s="476">
        <f>SUM($D$29:$D$31)</f>
        <v>0.33396597202375999</v>
      </c>
      <c r="BC28" s="479">
        <v>2</v>
      </c>
      <c r="BD28" s="522">
        <f>ROW()-ROW($L$2)</f>
        <v>26</v>
      </c>
      <c r="BE28" s="8"/>
      <c r="BF28" s="8"/>
      <c r="BG28" s="8"/>
      <c r="BH28" s="8"/>
      <c r="BI28" s="8"/>
      <c r="CC28" s="497">
        <f>AnalysisChart2[[#This Row],[Kosten]]</f>
        <v>0.33396597202375999</v>
      </c>
      <c r="CD28" s="523">
        <f>AnalysisChart2[[#This Row],[Kosten]]</f>
        <v>0.33396597202375999</v>
      </c>
      <c r="CE28" s="523">
        <f>AnalysisChart2[[#This Row],[Kosten]]</f>
        <v>0.33396597202375999</v>
      </c>
      <c r="CF28" s="526"/>
    </row>
    <row r="29" spans="2:84">
      <c r="B29" s="558">
        <v>27</v>
      </c>
      <c r="C29" s="565" t="s">
        <v>177</v>
      </c>
      <c r="D29" s="553"/>
      <c r="E29" s="579" t="s">
        <v>308</v>
      </c>
      <c r="F29" s="203"/>
      <c r="G29" s="519" t="str">
        <f>IF(COUNTA(H27,H21)&gt;0,"S","+")</f>
        <v>S</v>
      </c>
      <c r="H29" s="520" t="s">
        <v>131</v>
      </c>
      <c r="I29" s="543" t="s">
        <v>169</v>
      </c>
      <c r="J29" s="544">
        <f>$D$25</f>
        <v>5.7226200896113504</v>
      </c>
      <c r="K29" s="481">
        <v>2</v>
      </c>
      <c r="L29" s="531">
        <f t="shared" si="0"/>
        <v>27</v>
      </c>
      <c r="M29" s="8"/>
      <c r="N29" s="8"/>
      <c r="O29" s="8"/>
      <c r="P29" s="8"/>
      <c r="AL29" s="532">
        <f>AnalysisChart1[[#This Row],[Kosten]]</f>
        <v>5.7226200896113504</v>
      </c>
      <c r="AM29" s="523">
        <f>AnalysisChart1[[#This Row],[Kosten]]</f>
        <v>5.7226200896113504</v>
      </c>
      <c r="AN29" s="523">
        <f>AnalysisChart1[[#This Row],[Kosten]]</f>
        <v>5.7226200896113504</v>
      </c>
      <c r="AO29" s="523">
        <f>AnalysisChart1[[#This Row],[Kosten]]</f>
        <v>5.7226200896113504</v>
      </c>
      <c r="AP29" s="523">
        <f>AnalysisChart1[[#This Row],[Kosten]]</f>
        <v>5.7226200896113504</v>
      </c>
      <c r="AQ29" s="523">
        <f>AnalysisChart1[[#This Row],[Kosten]]</f>
        <v>5.7226200896113504</v>
      </c>
      <c r="AR29" s="523">
        <f>AnalysisChart1[[#This Row],[Kosten]]</f>
        <v>5.7226200896113504</v>
      </c>
      <c r="AS29" s="523">
        <f>AnalysisChart1[[#This Row],[Kosten]]</f>
        <v>5.7226200896113504</v>
      </c>
      <c r="AT29" s="523">
        <f>AnalysisChart1[[#This Row],[Kosten]]</f>
        <v>5.7226200896113504</v>
      </c>
      <c r="AU29" s="523">
        <f>AnalysisChart1[[#This Row],[Kosten]]</f>
        <v>5.7226200896113504</v>
      </c>
      <c r="AV29" s="523">
        <f>AnalysisChart1[[#This Row],[Kosten]]</f>
        <v>5.7226200896113504</v>
      </c>
      <c r="AW29" s="526"/>
      <c r="AY29" s="519"/>
      <c r="AZ29" s="520"/>
      <c r="BA29" s="488" t="s">
        <v>667</v>
      </c>
      <c r="BB29" s="482">
        <f>$D$32</f>
        <v>0</v>
      </c>
      <c r="BC29" s="479">
        <v>2</v>
      </c>
      <c r="BD29" s="522">
        <f t="shared" si="1"/>
        <v>27</v>
      </c>
      <c r="BE29" s="8"/>
      <c r="BF29" s="8"/>
      <c r="BG29" s="8"/>
      <c r="BH29" s="8"/>
      <c r="BI29" s="8"/>
      <c r="CD29" s="497">
        <f>AnalysisChart2[[#This Row],[Kosten]]</f>
        <v>0</v>
      </c>
      <c r="CE29" s="523">
        <f>AnalysisChart2[[#This Row],[Kosten]]</f>
        <v>0</v>
      </c>
      <c r="CF29" s="526"/>
    </row>
    <row r="30" spans="2:84">
      <c r="B30" s="558">
        <v>28</v>
      </c>
      <c r="C30" s="565" t="s">
        <v>176</v>
      </c>
      <c r="D30" s="553"/>
      <c r="E30" s="579" t="s">
        <v>306</v>
      </c>
      <c r="F30" s="203"/>
      <c r="G30" s="519">
        <f>Calculation!$BD$2</f>
        <v>-1</v>
      </c>
      <c r="H30" s="520" t="s">
        <v>131</v>
      </c>
      <c r="I30" s="545" t="s">
        <v>174</v>
      </c>
      <c r="J30" s="890">
        <f>$D$26</f>
        <v>0</v>
      </c>
      <c r="K30" s="479">
        <v>3</v>
      </c>
      <c r="L30" s="531">
        <f t="shared" si="0"/>
        <v>28</v>
      </c>
      <c r="M30" s="8"/>
      <c r="N30" s="8"/>
      <c r="O30" s="8"/>
      <c r="P30" s="8"/>
      <c r="AM30" s="497">
        <f>AnalysisChart1[[#This Row],[Kosten]]</f>
        <v>0</v>
      </c>
      <c r="AN30" s="523">
        <f>AnalysisChart1[[#This Row],[Kosten]]</f>
        <v>0</v>
      </c>
      <c r="AO30" s="523">
        <f>AnalysisChart1[[#This Row],[Kosten]]</f>
        <v>0</v>
      </c>
      <c r="AP30" s="523">
        <f>AnalysisChart1[[#This Row],[Kosten]]</f>
        <v>0</v>
      </c>
      <c r="AQ30" s="523">
        <f>AnalysisChart1[[#This Row],[Kosten]]</f>
        <v>0</v>
      </c>
      <c r="AR30" s="523">
        <f>AnalysisChart1[[#This Row],[Kosten]]</f>
        <v>0</v>
      </c>
      <c r="AS30" s="523">
        <f>AnalysisChart1[[#This Row],[Kosten]]</f>
        <v>0</v>
      </c>
      <c r="AT30" s="517"/>
      <c r="AU30" s="523"/>
      <c r="AV30" s="523"/>
      <c r="AW30" s="526"/>
      <c r="AY30" s="519" t="str">
        <f>IF(ROUND(AnalysisChart2[[#This Row],[Kosten]],4)&gt;0,"x","-")</f>
        <v>-</v>
      </c>
      <c r="AZ30" s="520" t="str">
        <f>IF(AnalysisChart2[[#This Row],[ ]]&lt;&gt;"",AnalysisChart2[[#This Row],[ ]],"")</f>
        <v>-</v>
      </c>
      <c r="BA30" s="489" t="s">
        <v>682</v>
      </c>
      <c r="BB30" s="476">
        <f>BB32-SUMIF(BC$2:INDEX(BC:BC,ROW()-1),AnalysisChart2[[#This Row],[+]],BB$2:INDEX(BB:BB,ROW()-1))</f>
        <v>0</v>
      </c>
      <c r="BC30" s="479">
        <v>2</v>
      </c>
      <c r="BD30" s="522">
        <f>ROW()-ROW($L$2)</f>
        <v>28</v>
      </c>
      <c r="BE30" s="8"/>
      <c r="BF30" s="8"/>
      <c r="BG30" s="8"/>
      <c r="BH30" s="8"/>
      <c r="BI30" s="8"/>
      <c r="CE30" s="497">
        <f>AnalysisChart2[[#This Row],[Kosten]]</f>
        <v>0</v>
      </c>
      <c r="CF30" s="526"/>
    </row>
    <row r="31" spans="2:84">
      <c r="B31" s="558">
        <v>29</v>
      </c>
      <c r="C31" s="565" t="s">
        <v>209</v>
      </c>
      <c r="D31" s="553">
        <f>0.33396597202376/1*1</f>
        <v>0.33396597202375999</v>
      </c>
      <c r="E31" s="579" t="s">
        <v>304</v>
      </c>
      <c r="F31" s="203"/>
      <c r="G31" s="519">
        <f>Calculation!$BD$2</f>
        <v>-1</v>
      </c>
      <c r="H31" s="520" t="s">
        <v>131</v>
      </c>
      <c r="I31" s="545" t="s">
        <v>175</v>
      </c>
      <c r="J31" s="890">
        <f>$D$27</f>
        <v>0</v>
      </c>
      <c r="K31" s="479">
        <v>3</v>
      </c>
      <c r="L31" s="531">
        <f t="shared" si="0"/>
        <v>29</v>
      </c>
      <c r="M31" s="8"/>
      <c r="N31" s="8"/>
      <c r="O31" s="8"/>
      <c r="P31" s="8"/>
      <c r="AN31" s="497">
        <f>AnalysisChart1[[#This Row],[Kosten]]</f>
        <v>0</v>
      </c>
      <c r="AO31" s="523">
        <f>AnalysisChart1[[#This Row],[Kosten]]</f>
        <v>0</v>
      </c>
      <c r="AP31" s="523">
        <f>AnalysisChart1[[#This Row],[Kosten]]</f>
        <v>0</v>
      </c>
      <c r="AQ31" s="523">
        <f>AnalysisChart1[[#This Row],[Kosten]]</f>
        <v>0</v>
      </c>
      <c r="AR31" s="523">
        <f>AnalysisChart1[[#This Row],[Kosten]]</f>
        <v>0</v>
      </c>
      <c r="AS31" s="523">
        <f>AnalysisChart1[[#This Row],[Kosten]]</f>
        <v>0</v>
      </c>
      <c r="AT31" s="528"/>
      <c r="AU31" s="523"/>
      <c r="AV31" s="523"/>
      <c r="AW31" s="526"/>
      <c r="AY31" s="519" t="s">
        <v>38</v>
      </c>
      <c r="AZ31" s="520" t="s">
        <v>38</v>
      </c>
      <c r="BA31" s="490" t="s">
        <v>699</v>
      </c>
      <c r="BB31" s="491">
        <v>0</v>
      </c>
      <c r="BC31" s="479">
        <v>1</v>
      </c>
      <c r="BD31" s="539">
        <f>ROW()-ROW($L$2)</f>
        <v>29</v>
      </c>
      <c r="BE31" s="8"/>
      <c r="BF31" s="8"/>
      <c r="BG31" s="8"/>
      <c r="BH31" s="8"/>
      <c r="BI31" s="8"/>
      <c r="CF31" s="546">
        <f>AnalysisChart2[[#This Row],[Kosten]]</f>
        <v>0</v>
      </c>
    </row>
    <row r="32" spans="2:84">
      <c r="B32" s="558">
        <v>30</v>
      </c>
      <c r="C32" s="565" t="s">
        <v>667</v>
      </c>
      <c r="D32" s="553">
        <v>0</v>
      </c>
      <c r="E32" s="579" t="s">
        <v>301</v>
      </c>
      <c r="F32" s="203"/>
      <c r="G32" s="519" t="str">
        <f>Calculation!$BH$2</f>
        <v>B0</v>
      </c>
      <c r="H32" s="520" t="s">
        <v>131</v>
      </c>
      <c r="I32" s="545" t="s">
        <v>210</v>
      </c>
      <c r="J32" s="890">
        <f>$D$28</f>
        <v>0.228904803584454</v>
      </c>
      <c r="K32" s="479">
        <v>3</v>
      </c>
      <c r="L32" s="531">
        <f t="shared" si="0"/>
        <v>30</v>
      </c>
      <c r="M32" s="8"/>
      <c r="N32" s="8"/>
      <c r="O32" s="8"/>
      <c r="P32" s="8"/>
      <c r="AO32" s="497">
        <f>AnalysisChart1[[#This Row],[Kosten]]</f>
        <v>0.228904803584454</v>
      </c>
      <c r="AP32" s="523">
        <f>AnalysisChart1[[#This Row],[Kosten]]</f>
        <v>0.228904803584454</v>
      </c>
      <c r="AQ32" s="523">
        <f>AnalysisChart1[[#This Row],[Kosten]]</f>
        <v>0.228904803584454</v>
      </c>
      <c r="AR32" s="523">
        <f>AnalysisChart1[[#This Row],[Kosten]]</f>
        <v>0.228904803584454</v>
      </c>
      <c r="AS32" s="523">
        <f>AnalysisChart1[[#This Row],[Kosten]]</f>
        <v>0.228904803584454</v>
      </c>
      <c r="AT32" s="528"/>
      <c r="AU32" s="523"/>
      <c r="AV32" s="523"/>
      <c r="AW32" s="526"/>
      <c r="AY32" s="547" t="s">
        <v>273</v>
      </c>
      <c r="AZ32" s="548" t="s">
        <v>131</v>
      </c>
      <c r="BA32" s="492" t="s">
        <v>692</v>
      </c>
      <c r="BB32" s="493">
        <f>SUM(BB26:BB29)-$BB$31</f>
        <v>6.2854908652195665</v>
      </c>
      <c r="BC32" s="494">
        <v>1</v>
      </c>
      <c r="BD32" s="549">
        <f>BD31</f>
        <v>29</v>
      </c>
      <c r="BE32" s="550"/>
      <c r="BF32" s="550"/>
      <c r="BG32" s="550"/>
      <c r="BH32" s="550"/>
      <c r="BI32" s="550"/>
      <c r="BJ32" s="551"/>
      <c r="BK32" s="551"/>
      <c r="BL32" s="551"/>
      <c r="BM32" s="551"/>
      <c r="BN32" s="551"/>
      <c r="BO32" s="551"/>
      <c r="BP32" s="551"/>
      <c r="BQ32" s="551"/>
      <c r="BR32" s="551"/>
      <c r="BS32" s="551"/>
      <c r="BT32" s="551"/>
      <c r="BU32" s="551"/>
      <c r="BV32" s="551"/>
      <c r="BW32" s="551"/>
      <c r="BX32" s="551"/>
      <c r="BY32" s="551"/>
      <c r="BZ32" s="551"/>
      <c r="CA32" s="551"/>
      <c r="CB32" s="551"/>
      <c r="CC32" s="551"/>
      <c r="CD32" s="551"/>
      <c r="CE32" s="551"/>
      <c r="CF32" s="538">
        <f>AnalysisChart2[[#This Row],[Kosten]]</f>
        <v>6.2854908652195665</v>
      </c>
    </row>
    <row r="33" spans="2:53">
      <c r="B33" s="559">
        <v>31</v>
      </c>
      <c r="C33" s="567" t="s">
        <v>157</v>
      </c>
      <c r="D33" s="574">
        <f>6.28549086521956/1*1</f>
        <v>6.2854908652195602</v>
      </c>
      <c r="E33" s="581" t="s">
        <v>299</v>
      </c>
      <c r="F33" s="203"/>
      <c r="G33" s="519">
        <f>Calculation!$BK$2</f>
        <v>-1</v>
      </c>
      <c r="H33" s="520" t="s">
        <v>131</v>
      </c>
      <c r="I33" s="545" t="s">
        <v>177</v>
      </c>
      <c r="J33" s="890">
        <f>$D$29</f>
        <v>0</v>
      </c>
      <c r="K33" s="479">
        <v>3</v>
      </c>
      <c r="L33" s="531">
        <f t="shared" si="0"/>
        <v>31</v>
      </c>
      <c r="M33" s="8"/>
      <c r="N33" s="8"/>
      <c r="O33" s="8"/>
      <c r="P33" s="8"/>
      <c r="AP33" s="497">
        <f>AnalysisChart1[[#This Row],[Kosten]]</f>
        <v>0</v>
      </c>
      <c r="AQ33" s="523">
        <f>AnalysisChart1[[#This Row],[Kosten]]</f>
        <v>0</v>
      </c>
      <c r="AR33" s="523">
        <f>AnalysisChart1[[#This Row],[Kosten]]</f>
        <v>0</v>
      </c>
      <c r="AS33" s="523">
        <f>AnalysisChart1[[#This Row],[Kosten]]</f>
        <v>0</v>
      </c>
      <c r="AT33" s="528"/>
      <c r="AU33" s="523"/>
      <c r="AV33" s="523"/>
      <c r="AW33" s="526"/>
    </row>
    <row r="34" spans="2:53">
      <c r="B34" s="560"/>
      <c r="C34" s="568"/>
      <c r="D34" s="575"/>
      <c r="E34" s="203"/>
      <c r="F34" s="203"/>
      <c r="G34" s="519">
        <f>Calculation!$BK$2</f>
        <v>-1</v>
      </c>
      <c r="H34" s="520" t="s">
        <v>131</v>
      </c>
      <c r="I34" s="545" t="s">
        <v>176</v>
      </c>
      <c r="J34" s="890">
        <f>$D$30</f>
        <v>0</v>
      </c>
      <c r="K34" s="479">
        <v>3</v>
      </c>
      <c r="L34" s="531">
        <f t="shared" si="0"/>
        <v>32</v>
      </c>
      <c r="M34" s="8"/>
      <c r="N34" s="8"/>
      <c r="O34" s="8"/>
      <c r="P34" s="8"/>
      <c r="AQ34" s="497">
        <f>AnalysisChart1[[#This Row],[Kosten]]</f>
        <v>0</v>
      </c>
      <c r="AR34" s="523">
        <f>AnalysisChart1[[#This Row],[Kosten]]</f>
        <v>0</v>
      </c>
      <c r="AS34" s="523">
        <f>AnalysisChart1[[#This Row],[Kosten]]</f>
        <v>0</v>
      </c>
      <c r="AT34" s="528"/>
      <c r="AU34" s="523"/>
      <c r="AV34" s="523"/>
      <c r="AW34" s="526"/>
    </row>
    <row r="35" spans="2:53">
      <c r="B35" s="561" t="s">
        <v>230</v>
      </c>
      <c r="C35" s="569" t="s">
        <v>905</v>
      </c>
      <c r="D35" s="171" t="s">
        <v>397</v>
      </c>
      <c r="E35" s="582" t="s">
        <v>36</v>
      </c>
      <c r="F35" s="203"/>
      <c r="G35" s="519" t="str">
        <f>Calculation!$BO$2</f>
        <v>B0</v>
      </c>
      <c r="H35" s="520" t="s">
        <v>131</v>
      </c>
      <c r="I35" s="545" t="s">
        <v>209</v>
      </c>
      <c r="J35" s="890">
        <f>$D$31</f>
        <v>0.33396597202375999</v>
      </c>
      <c r="K35" s="479">
        <v>3</v>
      </c>
      <c r="L35" s="531">
        <f t="shared" si="0"/>
        <v>33</v>
      </c>
      <c r="M35" s="8"/>
      <c r="N35" s="8"/>
      <c r="O35" s="8"/>
      <c r="P35" s="8"/>
      <c r="AR35" s="497">
        <f>AnalysisChart1[[#This Row],[Kosten]]</f>
        <v>0.33396597202375999</v>
      </c>
      <c r="AS35" s="523">
        <f>AnalysisChart1[[#This Row],[Kosten]]</f>
        <v>0.33396597202375999</v>
      </c>
      <c r="AT35" s="552"/>
      <c r="AU35" s="523"/>
      <c r="AV35" s="523"/>
      <c r="AW35" s="526"/>
    </row>
    <row r="36" spans="2:53">
      <c r="B36" s="1036">
        <f t="shared" ref="B36:B41" si="2">ROW()-35</f>
        <v>1</v>
      </c>
      <c r="C36" s="1037" t="s">
        <v>3218</v>
      </c>
      <c r="D36" s="1038">
        <v>6.3698484999999999E-2</v>
      </c>
      <c r="E36" s="1039"/>
      <c r="F36" s="203"/>
      <c r="G36" s="519" t="str">
        <f>IF(AND(ROUND(AnalysisChart1[[#This Row],[Kosten]],4)&gt;0,COUNTIF(H30:H35,"+")&gt;0),"x","-")</f>
        <v>-</v>
      </c>
      <c r="H36" s="520" t="str">
        <f>IF(AnalysisChart1[[#This Row],[ ]]&lt;&gt;"",AnalysisChart1[[#This Row],[ ]],"")</f>
        <v>-</v>
      </c>
      <c r="I36" s="486" t="s">
        <v>682</v>
      </c>
      <c r="J36" s="889" cm="1">
        <f t="array" ref="J36">J37-SUMPRODUCT((H30:H35="+")*1,J30:J35)</f>
        <v>0</v>
      </c>
      <c r="K36" s="479">
        <v>3</v>
      </c>
      <c r="L36" s="522">
        <f>ROW()-ROW($L$2)</f>
        <v>34</v>
      </c>
      <c r="M36" s="8"/>
      <c r="N36" s="8"/>
      <c r="O36" s="8"/>
      <c r="P36" s="8"/>
      <c r="AR36" s="497"/>
      <c r="AS36" s="497">
        <f>AnalysisChart1[[#This Row],[Kosten]]</f>
        <v>0</v>
      </c>
      <c r="AT36" s="552"/>
      <c r="AU36" s="523"/>
      <c r="AV36" s="523"/>
      <c r="AW36" s="526"/>
    </row>
    <row r="37" spans="2:53">
      <c r="B37" s="1036">
        <f t="shared" si="2"/>
        <v>2</v>
      </c>
      <c r="C37" s="1037" t="s">
        <v>3219</v>
      </c>
      <c r="D37" s="1038">
        <v>1.2677347992000001</v>
      </c>
      <c r="E37" s="1039"/>
      <c r="F37" s="203"/>
      <c r="G37" s="519" t="str">
        <f>IF(COUNTIF(H30:H35,"+")&gt;0,"S","+")</f>
        <v>S</v>
      </c>
      <c r="H37" s="520" t="s">
        <v>131</v>
      </c>
      <c r="I37" s="487" t="s">
        <v>675</v>
      </c>
      <c r="J37" s="553">
        <f>SUM($D$26:$D$31)</f>
        <v>0.56287077560821397</v>
      </c>
      <c r="K37" s="481">
        <v>2</v>
      </c>
      <c r="L37" s="522">
        <f>ROW()-ROW($L$2)</f>
        <v>35</v>
      </c>
      <c r="M37" s="8"/>
      <c r="N37" s="8"/>
      <c r="O37" s="8"/>
      <c r="P37" s="8"/>
      <c r="AR37" s="497"/>
      <c r="AS37" s="497"/>
      <c r="AT37" s="532">
        <f>AnalysisChart1[[#This Row],[Kosten]]</f>
        <v>0.56287077560821397</v>
      </c>
      <c r="AU37" s="523">
        <f>AnalysisChart1[[#This Row],[Kosten]]</f>
        <v>0.56287077560821397</v>
      </c>
      <c r="AV37" s="523">
        <f>AnalysisChart1[[#This Row],[Kosten]]</f>
        <v>0.56287077560821397</v>
      </c>
      <c r="AW37" s="526"/>
    </row>
    <row r="38" spans="2:53">
      <c r="B38" s="1036">
        <f t="shared" si="2"/>
        <v>3</v>
      </c>
      <c r="C38" s="1037" t="s">
        <v>3220</v>
      </c>
      <c r="D38" s="1038">
        <v>1.0135494478</v>
      </c>
      <c r="E38" s="1039"/>
      <c r="F38" s="203"/>
      <c r="G38" s="519"/>
      <c r="H38" s="520" t="s">
        <v>131</v>
      </c>
      <c r="I38" s="554" t="s">
        <v>667</v>
      </c>
      <c r="J38" s="890">
        <f>$D$32</f>
        <v>0</v>
      </c>
      <c r="K38" s="479">
        <v>2</v>
      </c>
      <c r="L38" s="531">
        <f t="shared" si="0"/>
        <v>36</v>
      </c>
      <c r="M38" s="8"/>
      <c r="N38" s="8"/>
      <c r="O38" s="8"/>
      <c r="P38" s="8"/>
      <c r="AU38" s="497">
        <f>AnalysisChart1[[#This Row],[Kosten]]</f>
        <v>0</v>
      </c>
      <c r="AV38" s="523">
        <f>AnalysisChart1[[#This Row],[Kosten]]</f>
        <v>0</v>
      </c>
      <c r="AW38" s="526"/>
    </row>
    <row r="39" spans="2:53">
      <c r="B39" s="1036">
        <f t="shared" si="2"/>
        <v>4</v>
      </c>
      <c r="C39" s="1037" t="s">
        <v>682</v>
      </c>
      <c r="D39" s="1038">
        <f>$D$41-SUM($D$36:$D$38)-$D$40</f>
        <v>0.19170325589999992</v>
      </c>
      <c r="E39" s="1039"/>
      <c r="F39" s="203"/>
      <c r="G39" s="519" t="str">
        <f>IF(ROUND(AnalysisChart1[[#This Row],[Kosten]],4)&gt;0,"x","-")</f>
        <v>-</v>
      </c>
      <c r="H39" s="520" t="str">
        <f>IF(AnalysisChart1[[#This Row],[ ]]&lt;&gt;"",AnalysisChart1[[#This Row],[ ]],"")</f>
        <v>-</v>
      </c>
      <c r="I39" s="489" t="s">
        <v>682</v>
      </c>
      <c r="J39" s="889">
        <f>J41+J40-SUMIF($K$2:INDEX($K:$K,ROW()-1),AnalysisChart1[[#This Row],[+]],$J$2:INDEX($J:$J,ROW()-1))</f>
        <v>0</v>
      </c>
      <c r="K39" s="479">
        <v>2</v>
      </c>
      <c r="L39" s="522">
        <f>ROW()-ROW($L$2)</f>
        <v>37</v>
      </c>
      <c r="M39" s="8"/>
      <c r="N39" s="8"/>
      <c r="O39" s="8"/>
      <c r="P39" s="8"/>
      <c r="AS39" s="497"/>
      <c r="AU39" s="523"/>
      <c r="AV39" s="497">
        <f>AnalysisChart1[[#This Row],[Kosten]]</f>
        <v>0</v>
      </c>
      <c r="AW39" s="526"/>
    </row>
    <row r="40" spans="2:53">
      <c r="B40" s="1036">
        <f t="shared" si="2"/>
        <v>5</v>
      </c>
      <c r="C40" s="1037" t="s">
        <v>2107</v>
      </c>
      <c r="D40" s="1038">
        <f>0.5661362292</f>
        <v>0.56613622919999995</v>
      </c>
      <c r="E40" s="1039"/>
      <c r="F40" s="203"/>
      <c r="G40" s="519" t="s">
        <v>38</v>
      </c>
      <c r="H40" s="520" t="s">
        <v>38</v>
      </c>
      <c r="I40" s="555" t="s">
        <v>699</v>
      </c>
      <c r="J40" s="491">
        <v>0</v>
      </c>
      <c r="K40" s="479">
        <v>1</v>
      </c>
      <c r="L40" s="539">
        <f>ROW()-ROW($L$2)</f>
        <v>38</v>
      </c>
      <c r="M40" s="8"/>
      <c r="N40" s="8"/>
      <c r="O40" s="8"/>
      <c r="P40" s="8"/>
      <c r="AS40" s="497"/>
      <c r="AU40" s="523"/>
      <c r="AV40" s="523"/>
      <c r="AW40" s="552">
        <f>AnalysisChart1[[#This Row],[Kosten]]</f>
        <v>0</v>
      </c>
    </row>
    <row r="41" spans="2:53">
      <c r="B41" s="1036">
        <f t="shared" si="2"/>
        <v>6</v>
      </c>
      <c r="C41" s="1037" t="s">
        <v>2079</v>
      </c>
      <c r="D41" s="1038">
        <v>3.1028222170999999</v>
      </c>
      <c r="E41" s="1039"/>
      <c r="F41" s="203"/>
      <c r="G41" s="547" t="s">
        <v>273</v>
      </c>
      <c r="H41" s="548" t="s">
        <v>131</v>
      </c>
      <c r="I41" s="492" t="s">
        <v>157</v>
      </c>
      <c r="J41" s="891">
        <f>$D$33-J40</f>
        <v>6.2854908652195602</v>
      </c>
      <c r="K41" s="494">
        <v>1</v>
      </c>
      <c r="L41" s="556">
        <f>L40</f>
        <v>38</v>
      </c>
      <c r="M41" s="550"/>
      <c r="N41" s="550"/>
      <c r="O41" s="550"/>
      <c r="P41" s="550"/>
      <c r="Q41" s="551"/>
      <c r="R41" s="551"/>
      <c r="S41" s="551"/>
      <c r="T41" s="551"/>
      <c r="U41" s="551"/>
      <c r="V41" s="551"/>
      <c r="W41" s="551"/>
      <c r="X41" s="551"/>
      <c r="Y41" s="551"/>
      <c r="Z41" s="551"/>
      <c r="AA41" s="551"/>
      <c r="AB41" s="551"/>
      <c r="AC41" s="551"/>
      <c r="AD41" s="551"/>
      <c r="AE41" s="551"/>
      <c r="AF41" s="551"/>
      <c r="AG41" s="551"/>
      <c r="AH41" s="551"/>
      <c r="AI41" s="551"/>
      <c r="AJ41" s="551"/>
      <c r="AK41" s="551"/>
      <c r="AL41" s="551"/>
      <c r="AM41" s="551"/>
      <c r="AN41" s="551"/>
      <c r="AO41" s="551"/>
      <c r="AP41" s="551"/>
      <c r="AQ41" s="551"/>
      <c r="AR41" s="551"/>
      <c r="AS41" s="551"/>
      <c r="AT41" s="551"/>
      <c r="AU41" s="551"/>
      <c r="AV41" s="551"/>
      <c r="AW41" s="532">
        <f>AnalysisChart1[[#This Row],[Kosten]]</f>
        <v>6.2854908652195602</v>
      </c>
    </row>
    <row r="42" spans="2:53">
      <c r="B42" s="562"/>
      <c r="C42" s="570"/>
      <c r="D42" s="576"/>
      <c r="E42" s="583"/>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BA42" s="5"/>
    </row>
  </sheetData>
  <phoneticPr fontId="38" type="noConversion"/>
  <pageMargins left="0.7" right="0.7" top="0.78740157499999996" bottom="0.78740157499999996" header="0.3" footer="0.3"/>
  <pageSetup paperSize="9" orientation="portrait" r:id="rId1"/>
  <ignoredErrors>
    <ignoredError sqref="L23" calculatedColumn="1"/>
  </ignoredErrors>
  <tableParts count="4">
    <tablePart r:id="rId2"/>
    <tablePart r:id="rId3"/>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14C56-4A37-4D69-A01E-87D45E0C4937}">
  <sheetPr codeName="TabDocumentation">
    <tabColor theme="9"/>
    <outlinePr summaryBelow="0" summaryRight="0"/>
  </sheetPr>
  <dimension ref="A1:L556"/>
  <sheetViews>
    <sheetView showGridLines="0" topLeftCell="A86" zoomScale="70" zoomScaleNormal="70" workbookViewId="0">
      <pane xSplit="2" topLeftCell="C1" activePane="topRight" state="frozen"/>
      <selection activeCell="C12" sqref="C12"/>
      <selection pane="topRight" activeCell="A87" sqref="A87:XFD87"/>
    </sheetView>
  </sheetViews>
  <sheetFormatPr baseColWidth="10" defaultColWidth="11.42578125" defaultRowHeight="12.75" outlineLevelRow="1"/>
  <cols>
    <col min="1" max="1" width="2.7109375" style="19" customWidth="1"/>
    <col min="2" max="2" width="15.7109375" style="6" customWidth="1"/>
    <col min="3" max="3" width="15.7109375" style="847" customWidth="1"/>
    <col min="4" max="4" width="75.7109375" style="449" customWidth="1"/>
    <col min="5" max="5" width="15.7109375" style="847" customWidth="1"/>
    <col min="6" max="6" width="85" style="19" customWidth="1"/>
    <col min="7" max="10" width="15.7109375" style="6" customWidth="1"/>
    <col min="11" max="12" width="15.7109375" style="19" customWidth="1"/>
    <col min="13" max="13" width="2.7109375" style="19" customWidth="1"/>
    <col min="14" max="16384" width="11.42578125" style="19"/>
  </cols>
  <sheetData>
    <row r="1" spans="1:12">
      <c r="B1" s="451" cm="1">
        <f t="array" ref="B1">SUM(LEN(2:391))</f>
        <v>177660</v>
      </c>
      <c r="C1" s="846">
        <f>B1/1600</f>
        <v>111.03749999999999</v>
      </c>
    </row>
    <row r="3" spans="1:12" collapsed="1">
      <c r="A3" s="458"/>
      <c r="B3" s="459" t="s">
        <v>749</v>
      </c>
    </row>
    <row r="4" spans="1:12" hidden="1" outlineLevel="1">
      <c r="A4" s="261"/>
      <c r="B4" s="260"/>
    </row>
    <row r="5" spans="1:12" s="6" customFormat="1" ht="30" hidden="1" customHeight="1" outlineLevel="1">
      <c r="B5" s="6" t="s">
        <v>359</v>
      </c>
      <c r="C5" s="847" t="s">
        <v>360</v>
      </c>
      <c r="D5" s="449" t="s">
        <v>361</v>
      </c>
      <c r="E5" s="847" t="s">
        <v>362</v>
      </c>
      <c r="F5" s="19" t="s">
        <v>363</v>
      </c>
      <c r="G5" s="6" t="s">
        <v>367</v>
      </c>
      <c r="H5" s="6" t="s">
        <v>368</v>
      </c>
      <c r="I5" s="6" t="s">
        <v>366</v>
      </c>
      <c r="J5" s="6" t="s">
        <v>369</v>
      </c>
      <c r="K5" s="6" t="s">
        <v>59</v>
      </c>
      <c r="L5" s="6" t="s">
        <v>720</v>
      </c>
    </row>
    <row r="6" spans="1:12" s="6" customFormat="1" ht="76.5" hidden="1" outlineLevel="1">
      <c r="B6" s="6" t="s">
        <v>1779</v>
      </c>
      <c r="C6" s="847" t="str">
        <f>DocCalculation[[#This Row],[Category EN]]&amp;IF(LEN(DocCalculation[[#This Row],[Subcategory EN]])&gt;0," 
" &amp;DocCalculation[[#This Row],[Subcategory EN]],)</f>
        <v>Tier 1 Supplier 
Designation</v>
      </c>
      <c r="D6" s="449" t="s">
        <v>1791</v>
      </c>
      <c r="E6" s="847" t="str">
        <f>DocCalculation[[#This Row],[Category DE]]&amp;IF(LEN(DocCalculation[[#This Row],[Subcategory DE]])&gt;0," 
" &amp;DocCalculation[[#This Row],[Subcategory DE]],)</f>
        <v>Tier 1 Lieferant 
Benennung</v>
      </c>
      <c r="F6" s="19" t="s">
        <v>1789</v>
      </c>
      <c r="G6" s="6" t="s">
        <v>1782</v>
      </c>
      <c r="H6" s="6" t="s">
        <v>492</v>
      </c>
      <c r="I6" s="6" t="s">
        <v>1781</v>
      </c>
      <c r="J6" s="6" t="s">
        <v>33</v>
      </c>
    </row>
    <row r="7" spans="1:12" s="6" customFormat="1" ht="51" hidden="1" outlineLevel="1">
      <c r="B7" s="6" t="s">
        <v>1783</v>
      </c>
      <c r="C7" s="847" t="str">
        <f>DocCalculation[[#This Row],[Category EN]]&amp;IF(LEN(DocCalculation[[#This Row],[Subcategory EN]])&gt;0," 
" &amp;DocCalculation[[#This Row],[Subcategory EN]],)</f>
        <v>Total price</v>
      </c>
      <c r="D7" s="449" t="s">
        <v>1788</v>
      </c>
      <c r="E7" s="847" t="str">
        <f>DocCalculation[[#This Row],[Category DE]]&amp;IF(LEN(DocCalculation[[#This Row],[Subcategory DE]])&gt;0," 
" &amp;DocCalculation[[#This Row],[Subcategory DE]],)</f>
        <v>Gesamtpreis</v>
      </c>
      <c r="F7" s="19" t="s">
        <v>1787</v>
      </c>
      <c r="G7" s="6" t="s">
        <v>1785</v>
      </c>
      <c r="I7" s="6" t="s">
        <v>1784</v>
      </c>
    </row>
    <row r="8" spans="1:12" s="6" customFormat="1" ht="51" hidden="1" outlineLevel="1">
      <c r="B8" s="6" t="s">
        <v>1786</v>
      </c>
      <c r="C8" s="847" t="str">
        <f>DocCalculation[[#This Row],[Category EN]]&amp;IF(LEN(DocCalculation[[#This Row],[Subcategory EN]])&gt;0," 
" &amp;DocCalculation[[#This Row],[Subcategory EN]],)</f>
        <v>Customer cycle time</v>
      </c>
      <c r="D8" s="449" t="str">
        <f>D184</f>
        <v>The customer cycle is calculated from the premises and results in the available time per piece.
It serves as an orientation as to how much time is available for a component to reach the desired production quantity.</v>
      </c>
      <c r="E8" s="847" t="str">
        <f>DocCalculation[[#This Row],[Category DE]]&amp;IF(LEN(DocCalculation[[#This Row],[Subcategory DE]])&gt;0," 
" &amp;DocCalculation[[#This Row],[Subcategory DE]],)</f>
        <v>Kundentakt</v>
      </c>
      <c r="F8" s="19" t="str">
        <f>F184</f>
        <v>Der Kundentakt errechnet sich aus den Prämissen und ergibt die verfügbare Zeit pro Stück.
Er dient als Orientierung, wie viel Zeit für ein Bauteil zur Verfügung steht, um die gewünschte Produktionsmenge zu erreichen.</v>
      </c>
      <c r="G8" s="6" t="str">
        <f>H184</f>
        <v>Customer cycle time</v>
      </c>
      <c r="I8" s="6" t="str">
        <f>J184</f>
        <v>Kundentakt</v>
      </c>
    </row>
    <row r="9" spans="1:12" s="6" customFormat="1" ht="99" hidden="1" customHeight="1" outlineLevel="1">
      <c r="B9" s="6" t="s">
        <v>1780</v>
      </c>
      <c r="C9" s="847" t="str">
        <f>DocCalculation[[#This Row],[Category EN]]&amp;IF(LEN(DocCalculation[[#This Row],[Subcategory EN]])&gt;0," 
" &amp;DocCalculation[[#This Row],[Subcategory EN]],)</f>
        <v>Tier 1 Supplier 
ID</v>
      </c>
      <c r="D9" s="449" t="s">
        <v>1792</v>
      </c>
      <c r="E9" s="847" t="str">
        <f>DocCalculation[[#This Row],[Category DE]]&amp;IF(LEN(DocCalculation[[#This Row],[Subcategory DE]])&gt;0," 
" &amp;DocCalculation[[#This Row],[Subcategory DE]],)</f>
        <v>Tier 1 Lieferant 
ID</v>
      </c>
      <c r="F9" s="19" t="s">
        <v>1790</v>
      </c>
      <c r="G9" s="6" t="s">
        <v>1782</v>
      </c>
      <c r="H9" s="6" t="s">
        <v>148</v>
      </c>
      <c r="I9" s="6" t="s">
        <v>1781</v>
      </c>
      <c r="J9" s="6" t="s">
        <v>148</v>
      </c>
    </row>
    <row r="10" spans="1:12" ht="165.75" hidden="1" outlineLevel="1">
      <c r="B10" s="6" t="s">
        <v>84</v>
      </c>
      <c r="C10" s="847" t="str">
        <f>DocCalculation[[#This Row],[Category EN]]&amp;IF(LEN(DocCalculation[[#This Row],[Subcategory EN]])&gt;0," 
" &amp;DocCalculation[[#This Row],[Subcategory EN]],)</f>
        <v>Adding blocks and rows</v>
      </c>
      <c r="D10" s="449" t="s">
        <v>1517</v>
      </c>
      <c r="E10" s="847" t="str">
        <f>DocCalculation[[#This Row],[Category DE]]&amp;IF(LEN(DocCalculation[[#This Row],[Subcategory DE]])&gt;0," 
" &amp;DocCalculation[[#This Row],[Subcategory DE]],)</f>
        <v>Blöcke und Zeilen hinzufügen</v>
      </c>
      <c r="F10" s="19" t="s">
        <v>1793</v>
      </c>
      <c r="G10" s="6" t="s">
        <v>1516</v>
      </c>
      <c r="I10" s="6" t="s">
        <v>1515</v>
      </c>
      <c r="K10" s="6"/>
      <c r="L10" s="6">
        <v>1</v>
      </c>
    </row>
    <row r="11" spans="1:12" ht="114.75" hidden="1" outlineLevel="1">
      <c r="B11" s="6" t="s">
        <v>256</v>
      </c>
      <c r="C11" s="847" t="str">
        <f>DocCalculation[[#This Row],[Category EN]]&amp;IF(LEN(DocCalculation[[#This Row],[Subcategory EN]])&gt;0," 
" &amp;DocCalculation[[#This Row],[Subcategory EN]],)</f>
        <v>Blocks and rows</v>
      </c>
      <c r="D11" s="449" t="s">
        <v>1697</v>
      </c>
      <c r="E11" s="847" t="str">
        <f>DocCalculation[[#This Row],[Category DE]]&amp;IF(LEN(DocCalculation[[#This Row],[Subcategory DE]])&gt;0," 
" &amp;DocCalculation[[#This Row],[Subcategory DE]],)</f>
        <v>Blöcke und Zeilen</v>
      </c>
      <c r="F11" s="19" t="s">
        <v>1514</v>
      </c>
      <c r="G11" s="6" t="s">
        <v>1513</v>
      </c>
      <c r="I11" s="6" t="s">
        <v>1512</v>
      </c>
      <c r="K11" s="6"/>
      <c r="L11" s="6">
        <v>1</v>
      </c>
    </row>
    <row r="12" spans="1:12" hidden="1" outlineLevel="1">
      <c r="B12" s="6" t="s">
        <v>261</v>
      </c>
      <c r="C12" s="847" t="str">
        <f>DocCalculation[[#This Row],[Category EN]]&amp;IF(LEN(DocCalculation[[#This Row],[Subcategory EN]])&gt;0," 
" &amp;DocCalculation[[#This Row],[Subcategory EN]],)</f>
        <v/>
      </c>
      <c r="E12" s="847" t="str">
        <f>DocCalculation[[#This Row],[Category DE]]&amp;IF(LEN(DocCalculation[[#This Row],[Subcategory DE]])&gt;0," 
" &amp;DocCalculation[[#This Row],[Subcategory DE]],)</f>
        <v/>
      </c>
      <c r="K12" s="6"/>
      <c r="L12" s="6">
        <v>1</v>
      </c>
    </row>
    <row r="13" spans="1:12" ht="38.25" hidden="1" outlineLevel="1">
      <c r="B13" s="6" t="s">
        <v>262</v>
      </c>
      <c r="C13" s="847" t="str">
        <f>DocCalculation[[#This Row],[Category EN]]&amp;IF(LEN(DocCalculation[[#This Row],[Subcategory EN]])&gt;0," 
" &amp;DocCalculation[[#This Row],[Subcategory EN]],)</f>
        <v>Quantity</v>
      </c>
      <c r="D13" s="449" t="s">
        <v>1778</v>
      </c>
      <c r="E13" s="847" t="str">
        <f>DocCalculation[[#This Row],[Category DE]]&amp;IF(LEN(DocCalculation[[#This Row],[Subcategory DE]])&gt;0," 
" &amp;DocCalculation[[#This Row],[Subcategory DE]],)</f>
        <v>Anzahl</v>
      </c>
      <c r="F13" s="19" t="s">
        <v>1777</v>
      </c>
      <c r="G13" s="6" t="s">
        <v>476</v>
      </c>
      <c r="I13" s="6" t="s">
        <v>35</v>
      </c>
      <c r="K13" s="6"/>
      <c r="L13" s="6">
        <v>1</v>
      </c>
    </row>
    <row r="14" spans="1:12" ht="178.5" hidden="1" outlineLevel="1">
      <c r="B14" s="6" t="s">
        <v>263</v>
      </c>
      <c r="C14" s="848" t="str">
        <f>DocCalculation[[#This Row],[Category EN]]&amp;IF(LEN(DocCalculation[[#This Row],[Subcategory EN]])&gt;0," 
" &amp;DocCalculation[[#This Row],[Subcategory EN]],)</f>
        <v>Machine 
Description</v>
      </c>
      <c r="D14" s="449" t="s">
        <v>1986</v>
      </c>
      <c r="E14" s="848" t="str">
        <f>DocCalculation[[#This Row],[Category DE]]&amp;IF(LEN(DocCalculation[[#This Row],[Subcategory DE]])&gt;0," 
" &amp;DocCalculation[[#This Row],[Subcategory DE]],)</f>
        <v>Maschinen 
Bezeichnung</v>
      </c>
      <c r="F14" s="19" t="s">
        <v>1982</v>
      </c>
      <c r="G14" s="460" t="s">
        <v>364</v>
      </c>
      <c r="H14" s="460" t="s">
        <v>69</v>
      </c>
      <c r="I14" s="6" t="s">
        <v>162</v>
      </c>
      <c r="J14" s="460" t="s">
        <v>2</v>
      </c>
      <c r="K14" s="460"/>
      <c r="L14" s="6">
        <v>1</v>
      </c>
    </row>
    <row r="15" spans="1:12" ht="191.25" hidden="1" outlineLevel="1">
      <c r="B15" s="6" t="s">
        <v>264</v>
      </c>
      <c r="C15" s="847" t="str">
        <f>DocCalculation[[#This Row],[Category EN]]&amp;IF(LEN(DocCalculation[[#This Row],[Subcategory EN]])&gt;0," 
" &amp;DocCalculation[[#This Row],[Subcategory EN]],)</f>
        <v>Machine 
Cycle time</v>
      </c>
      <c r="D15" s="449" t="s">
        <v>1987</v>
      </c>
      <c r="E15" s="848" t="str">
        <f>DocCalculation[[#This Row],[Category DE]]&amp;IF(LEN(DocCalculation[[#This Row],[Subcategory DE]])&gt;0," 
" &amp;DocCalculation[[#This Row],[Subcategory DE]],)</f>
        <v>Maschinen 
Zykluszeit</v>
      </c>
      <c r="F15" s="19" t="s">
        <v>1983</v>
      </c>
      <c r="G15" s="460" t="s">
        <v>364</v>
      </c>
      <c r="H15" s="460" t="s">
        <v>151</v>
      </c>
      <c r="I15" s="6" t="s">
        <v>162</v>
      </c>
      <c r="J15" s="460" t="s">
        <v>357</v>
      </c>
      <c r="K15" s="460"/>
      <c r="L15" s="6">
        <v>1</v>
      </c>
    </row>
    <row r="16" spans="1:12" ht="38.25" hidden="1" outlineLevel="1">
      <c r="B16" s="6" t="s">
        <v>265</v>
      </c>
      <c r="C16" s="847" t="str">
        <f>DocCalculation[[#This Row],[Category EN]]&amp;IF(LEN(DocCalculation[[#This Row],[Subcategory EN]])&gt;0," 
" &amp;DocCalculation[[#This Row],[Subcategory EN]],)</f>
        <v>Machine 
Time unit</v>
      </c>
      <c r="D16" s="449" t="s">
        <v>1773</v>
      </c>
      <c r="E16" s="848" t="str">
        <f>DocCalculation[[#This Row],[Category DE]]&amp;IF(LEN(DocCalculation[[#This Row],[Subcategory DE]])&gt;0," 
" &amp;DocCalculation[[#This Row],[Subcategory DE]],)</f>
        <v>Maschinen 
Zeiteinheit</v>
      </c>
      <c r="F16" s="19" t="s">
        <v>1953</v>
      </c>
      <c r="G16" s="460" t="s">
        <v>364</v>
      </c>
      <c r="H16" s="460" t="s">
        <v>55</v>
      </c>
      <c r="I16" s="6" t="s">
        <v>162</v>
      </c>
      <c r="J16" s="460" t="s">
        <v>356</v>
      </c>
      <c r="K16" s="460"/>
      <c r="L16" s="6">
        <v>1</v>
      </c>
    </row>
    <row r="17" spans="2:12" ht="25.5" hidden="1" outlineLevel="1">
      <c r="B17" s="6" t="s">
        <v>266</v>
      </c>
      <c r="C17" s="847" t="str">
        <f>DocCalculation[[#This Row],[Category EN]]&amp;IF(LEN(DocCalculation[[#This Row],[Subcategory EN]])&gt;0," 
" &amp;DocCalculation[[#This Row],[Subcategory EN]],)</f>
        <v>Machine 
Parts per Cycle</v>
      </c>
      <c r="D17" s="449" t="s">
        <v>456</v>
      </c>
      <c r="E17" s="848" t="str">
        <f>DocCalculation[[#This Row],[Category DE]]&amp;IF(LEN(DocCalculation[[#This Row],[Subcategory DE]])&gt;0," 
" &amp;DocCalculation[[#This Row],[Subcategory DE]],)</f>
        <v>Maschinen 
Teile pro Zyklus</v>
      </c>
      <c r="F17" s="19" t="s">
        <v>1952</v>
      </c>
      <c r="G17" s="460" t="s">
        <v>364</v>
      </c>
      <c r="H17" s="460" t="s">
        <v>1950</v>
      </c>
      <c r="I17" s="6" t="s">
        <v>162</v>
      </c>
      <c r="J17" s="460" t="s">
        <v>1951</v>
      </c>
      <c r="K17" s="460"/>
      <c r="L17" s="6">
        <v>1</v>
      </c>
    </row>
    <row r="18" spans="2:12" ht="25.5" hidden="1" outlineLevel="1">
      <c r="B18" s="6" t="s">
        <v>267</v>
      </c>
      <c r="C18" s="847" t="str">
        <f>DocCalculation[[#This Row],[Category EN]]&amp;IF(LEN(DocCalculation[[#This Row],[Subcategory EN]])&gt;0," 
" &amp;DocCalculation[[#This Row],[Subcategory EN]],)</f>
        <v>Machine 
MHR</v>
      </c>
      <c r="D18" s="449" t="s">
        <v>1772</v>
      </c>
      <c r="E18" s="848" t="str">
        <f>DocCalculation[[#This Row],[Category DE]]&amp;IF(LEN(DocCalculation[[#This Row],[Subcategory DE]])&gt;0," 
" &amp;DocCalculation[[#This Row],[Subcategory DE]],)</f>
        <v>Maschinen 
MSS</v>
      </c>
      <c r="F18" s="19" t="s">
        <v>2383</v>
      </c>
      <c r="G18" s="460" t="s">
        <v>364</v>
      </c>
      <c r="H18" s="460" t="s">
        <v>58</v>
      </c>
      <c r="I18" s="6" t="s">
        <v>162</v>
      </c>
      <c r="J18" s="460" t="s">
        <v>39</v>
      </c>
      <c r="K18" s="460" t="s">
        <v>119</v>
      </c>
      <c r="L18" s="6">
        <v>1</v>
      </c>
    </row>
    <row r="19" spans="2:12" ht="38.25" hidden="1" outlineLevel="1">
      <c r="B19" s="6" t="s">
        <v>268</v>
      </c>
      <c r="C19" s="847" t="str">
        <f>DocCalculation[[#This Row],[Category EN]]&amp;IF(LEN(DocCalculation[[#This Row],[Subcategory EN]])&gt;0," 
" &amp;DocCalculation[[#This Row],[Subcategory EN]],)</f>
        <v>Machine 
Total</v>
      </c>
      <c r="D19" s="449" t="s">
        <v>457</v>
      </c>
      <c r="E19" s="848" t="str">
        <f>DocCalculation[[#This Row],[Category DE]]&amp;IF(LEN(DocCalculation[[#This Row],[Subcategory DE]])&gt;0," 
" &amp;DocCalculation[[#This Row],[Subcategory DE]],)</f>
        <v>Maschinen 
Total</v>
      </c>
      <c r="F19" s="19" t="s">
        <v>416</v>
      </c>
      <c r="G19" s="460" t="s">
        <v>364</v>
      </c>
      <c r="H19" s="460" t="s">
        <v>70</v>
      </c>
      <c r="I19" s="6" t="s">
        <v>162</v>
      </c>
      <c r="J19" s="460" t="s">
        <v>70</v>
      </c>
      <c r="K19" s="460" t="s">
        <v>300</v>
      </c>
      <c r="L19" s="6">
        <v>1</v>
      </c>
    </row>
    <row r="20" spans="2:12" ht="114.75" hidden="1" outlineLevel="1">
      <c r="B20" s="6" t="s">
        <v>83</v>
      </c>
      <c r="C20" s="847" t="str">
        <f>DocCalculation[[#This Row],[Category EN]]&amp;IF(LEN(DocCalculation[[#This Row],[Subcategory EN]])&gt;0," 
" &amp;DocCalculation[[#This Row],[Subcategory EN]],)</f>
        <v>Setup 
Lot size</v>
      </c>
      <c r="D20" s="461" t="s">
        <v>1956</v>
      </c>
      <c r="E20" s="847" t="str">
        <f>DocCalculation[[#This Row],[Category DE]]&amp;IF(LEN(DocCalculation[[#This Row],[Subcategory DE]])&gt;0," 
" &amp;DocCalculation[[#This Row],[Subcategory DE]],)</f>
        <v>Rüsten 
Losgröße</v>
      </c>
      <c r="F20" s="462" t="s">
        <v>1954</v>
      </c>
      <c r="G20" s="6" t="s">
        <v>458</v>
      </c>
      <c r="H20" s="6" t="s">
        <v>1955</v>
      </c>
      <c r="I20" s="6" t="s">
        <v>161</v>
      </c>
      <c r="J20" s="6" t="s">
        <v>53</v>
      </c>
      <c r="K20" s="6" t="s">
        <v>60</v>
      </c>
      <c r="L20" s="6">
        <v>1</v>
      </c>
    </row>
    <row r="21" spans="2:12" ht="25.5" hidden="1" outlineLevel="1">
      <c r="B21" s="6" t="s">
        <v>269</v>
      </c>
      <c r="C21" s="847" t="str">
        <f>DocCalculation[[#This Row],[Category EN]]&amp;IF(LEN(DocCalculation[[#This Row],[Subcategory EN]])&gt;0," 
" &amp;DocCalculation[[#This Row],[Subcategory EN]],)</f>
        <v>Setup 
time</v>
      </c>
      <c r="D21" s="449" t="s">
        <v>1771</v>
      </c>
      <c r="E21" s="847" t="str">
        <f>DocCalculation[[#This Row],[Category DE]]&amp;IF(LEN(DocCalculation[[#This Row],[Subcategory DE]])&gt;0," 
" &amp;DocCalculation[[#This Row],[Subcategory DE]],)</f>
        <v>Rüsten 
Zeit</v>
      </c>
      <c r="F21" s="19" t="s">
        <v>371</v>
      </c>
      <c r="G21" s="6" t="s">
        <v>458</v>
      </c>
      <c r="H21" s="6" t="s">
        <v>459</v>
      </c>
      <c r="I21" s="6" t="s">
        <v>161</v>
      </c>
      <c r="J21" s="6" t="s">
        <v>8</v>
      </c>
      <c r="K21" s="6" t="s">
        <v>126</v>
      </c>
      <c r="L21" s="6">
        <v>1</v>
      </c>
    </row>
    <row r="22" spans="2:12" ht="38.25" hidden="1" outlineLevel="1">
      <c r="B22" s="6" t="s">
        <v>49</v>
      </c>
      <c r="C22" s="847" t="str">
        <f>DocCalculation[[#This Row],[Category EN]]&amp;IF(LEN(DocCalculation[[#This Row],[Subcategory EN]])&gt;0," 
" &amp;DocCalculation[[#This Row],[Subcategory EN]],)</f>
        <v>Setup 
workers</v>
      </c>
      <c r="D22" s="449" t="s">
        <v>1770</v>
      </c>
      <c r="E22" s="847" t="str">
        <f>DocCalculation[[#This Row],[Category DE]]&amp;IF(LEN(DocCalculation[[#This Row],[Subcategory DE]])&gt;0," 
" &amp;DocCalculation[[#This Row],[Subcategory DE]],)</f>
        <v>Rüsten 
Mitarbeiter</v>
      </c>
      <c r="F22" s="19" t="s">
        <v>1769</v>
      </c>
      <c r="G22" s="6" t="s">
        <v>458</v>
      </c>
      <c r="H22" s="6" t="s">
        <v>460</v>
      </c>
      <c r="I22" s="6" t="s">
        <v>161</v>
      </c>
      <c r="J22" s="6" t="s">
        <v>354</v>
      </c>
      <c r="K22" s="6" t="s">
        <v>35</v>
      </c>
      <c r="L22" s="6">
        <v>1</v>
      </c>
    </row>
    <row r="23" spans="2:12" ht="25.5" hidden="1" outlineLevel="1">
      <c r="B23" s="6" t="s">
        <v>270</v>
      </c>
      <c r="C23" s="847" t="str">
        <f>DocCalculation[[#This Row],[Category EN]]&amp;IF(LEN(DocCalculation[[#This Row],[Subcategory EN]])&gt;0," 
" &amp;DocCalculation[[#This Row],[Subcategory EN]],)</f>
        <v>Ext. Setup 
Time</v>
      </c>
      <c r="D23" s="449" t="s">
        <v>1957</v>
      </c>
      <c r="E23" s="847" t="str">
        <f>DocCalculation[[#This Row],[Category DE]]&amp;IF(LEN(DocCalculation[[#This Row],[Subcategory DE]])&gt;0," 
" &amp;DocCalculation[[#This Row],[Subcategory DE]],)</f>
        <v>Ext. Rüsten 
Zeit</v>
      </c>
      <c r="F23" s="19" t="s">
        <v>372</v>
      </c>
      <c r="G23" s="6" t="s">
        <v>1958</v>
      </c>
      <c r="H23" s="6" t="s">
        <v>74</v>
      </c>
      <c r="I23" s="6" t="s">
        <v>365</v>
      </c>
      <c r="J23" s="6" t="s">
        <v>8</v>
      </c>
      <c r="K23" s="6" t="s">
        <v>126</v>
      </c>
      <c r="L23" s="6">
        <v>1</v>
      </c>
    </row>
    <row r="24" spans="2:12" ht="38.25" hidden="1" outlineLevel="1">
      <c r="B24" s="6" t="s">
        <v>271</v>
      </c>
      <c r="C24" s="847" t="str">
        <f>DocCalculation[[#This Row],[Category EN]]&amp;IF(LEN(DocCalculation[[#This Row],[Subcategory EN]])&gt;0," 
" &amp;DocCalculation[[#This Row],[Subcategory EN]],)</f>
        <v>Ext. Setup 
Workers</v>
      </c>
      <c r="D24" s="449" t="s">
        <v>1768</v>
      </c>
      <c r="E24" s="847" t="str">
        <f>DocCalculation[[#This Row],[Category DE]]&amp;IF(LEN(DocCalculation[[#This Row],[Subcategory DE]])&gt;0," 
" &amp;DocCalculation[[#This Row],[Subcategory DE]],)</f>
        <v>Ext. Rüsten 
Mitarbeiter</v>
      </c>
      <c r="F24" s="19" t="s">
        <v>1767</v>
      </c>
      <c r="G24" s="6" t="s">
        <v>1958</v>
      </c>
      <c r="H24" s="6" t="s">
        <v>464</v>
      </c>
      <c r="I24" s="6" t="s">
        <v>365</v>
      </c>
      <c r="J24" s="6" t="s">
        <v>354</v>
      </c>
      <c r="K24" s="6" t="s">
        <v>35</v>
      </c>
      <c r="L24" s="6">
        <v>1</v>
      </c>
    </row>
    <row r="25" spans="2:12" ht="25.5" hidden="1" outlineLevel="1">
      <c r="B25" s="6" t="s">
        <v>240</v>
      </c>
      <c r="C25" s="847" t="str">
        <f>DocCalculation[[#This Row],[Category EN]]&amp;IF(LEN(DocCalculation[[#This Row],[Subcategory EN]])&gt;0," 
" &amp;DocCalculation[[#This Row],[Subcategory EN]],)</f>
        <v>Setup 
Lot size</v>
      </c>
      <c r="D25" s="461" t="s">
        <v>461</v>
      </c>
      <c r="E25" s="847" t="str">
        <f>DocCalculation[[#This Row],[Category DE]]&amp;IF(LEN(DocCalculation[[#This Row],[Subcategory DE]])&gt;0," 
" &amp;DocCalculation[[#This Row],[Subcategory DE]],)</f>
        <v>Rüsten 
Losgröße</v>
      </c>
      <c r="F25" s="462" t="s">
        <v>373</v>
      </c>
      <c r="G25" s="6" t="s">
        <v>458</v>
      </c>
      <c r="H25" s="6" t="s">
        <v>1955</v>
      </c>
      <c r="I25" s="6" t="s">
        <v>161</v>
      </c>
      <c r="J25" s="6" t="s">
        <v>53</v>
      </c>
      <c r="K25" s="6" t="s">
        <v>125</v>
      </c>
      <c r="L25" s="6">
        <v>1</v>
      </c>
    </row>
    <row r="26" spans="2:12" ht="63.75" hidden="1" outlineLevel="1">
      <c r="B26" s="6" t="s">
        <v>272</v>
      </c>
      <c r="C26" s="847" t="str">
        <f>DocCalculation[[#This Row],[Category EN]]&amp;IF(LEN(DocCalculation[[#This Row],[Subcategory EN]])&gt;0," 
" &amp;DocCalculation[[#This Row],[Subcategory EN]],)</f>
        <v>Setup 
Labor costs</v>
      </c>
      <c r="D26" s="449" t="s">
        <v>2082</v>
      </c>
      <c r="E26" s="848" t="str">
        <f>DocCalculation[[#This Row],[Category DE]]&amp;IF(LEN(DocCalculation[[#This Row],[Subcategory DE]])&gt;0," 
" &amp;DocCalculation[[#This Row],[Subcategory DE]],)</f>
        <v>Rüsten 
Arbeitskosten</v>
      </c>
      <c r="F26" s="19" t="s">
        <v>2083</v>
      </c>
      <c r="G26" s="6" t="s">
        <v>458</v>
      </c>
      <c r="H26" s="6" t="s">
        <v>1959</v>
      </c>
      <c r="I26" s="6" t="s">
        <v>161</v>
      </c>
      <c r="J26" s="6" t="s">
        <v>374</v>
      </c>
      <c r="K26" s="460" t="s">
        <v>119</v>
      </c>
      <c r="L26" s="6">
        <v>1</v>
      </c>
    </row>
    <row r="27" spans="2:12" ht="25.5" hidden="1" outlineLevel="1">
      <c r="B27" s="6" t="s">
        <v>40</v>
      </c>
      <c r="C27" s="847" t="str">
        <f>DocCalculation[[#This Row],[Category EN]]&amp;IF(LEN(DocCalculation[[#This Row],[Subcategory EN]])&gt;0," 
" &amp;DocCalculation[[#This Row],[Subcategory EN]],)</f>
        <v>Setup 
Total</v>
      </c>
      <c r="D27" s="449" t="s">
        <v>462</v>
      </c>
      <c r="E27" s="848" t="str">
        <f>DocCalculation[[#This Row],[Category DE]]&amp;IF(LEN(DocCalculation[[#This Row],[Subcategory DE]])&gt;0," 
" &amp;DocCalculation[[#This Row],[Subcategory DE]],)</f>
        <v>Rüsten 
Total</v>
      </c>
      <c r="F27" s="19" t="s">
        <v>375</v>
      </c>
      <c r="G27" s="6" t="s">
        <v>458</v>
      </c>
      <c r="H27" s="6" t="s">
        <v>70</v>
      </c>
      <c r="I27" s="6" t="s">
        <v>161</v>
      </c>
      <c r="J27" s="6" t="s">
        <v>70</v>
      </c>
      <c r="K27" s="460" t="s">
        <v>300</v>
      </c>
      <c r="L27" s="6">
        <v>1</v>
      </c>
    </row>
    <row r="28" spans="2:12" ht="25.5" hidden="1" outlineLevel="1">
      <c r="B28" s="6" t="s">
        <v>273</v>
      </c>
      <c r="C28" s="847" t="str">
        <f>DocCalculation[[#This Row],[Category EN]]&amp;IF(LEN(DocCalculation[[#This Row],[Subcategory EN]])&gt;0," 
" &amp;DocCalculation[[#This Row],[Subcategory EN]],)</f>
        <v>Workers 
Workers</v>
      </c>
      <c r="D28" s="449" t="s">
        <v>463</v>
      </c>
      <c r="E28" s="847" t="str">
        <f>DocCalculation[[#This Row],[Category DE]]&amp;IF(LEN(DocCalculation[[#This Row],[Subcategory DE]])&gt;0," 
" &amp;DocCalculation[[#This Row],[Subcategory DE]],)</f>
        <v>Mitarbeiter 
MA</v>
      </c>
      <c r="F28" s="19" t="s">
        <v>355</v>
      </c>
      <c r="G28" s="6" t="s">
        <v>464</v>
      </c>
      <c r="H28" s="6" t="s">
        <v>464</v>
      </c>
      <c r="I28" s="6" t="s">
        <v>354</v>
      </c>
      <c r="J28" s="6" t="s">
        <v>62</v>
      </c>
      <c r="K28" s="6" t="s">
        <v>35</v>
      </c>
      <c r="L28" s="6">
        <v>1</v>
      </c>
    </row>
    <row r="29" spans="2:12" ht="38.25" hidden="1" outlineLevel="1">
      <c r="B29" s="6" t="s">
        <v>274</v>
      </c>
      <c r="C29" s="847" t="str">
        <f>DocCalculation[[#This Row],[Category EN]]&amp;IF(LEN(DocCalculation[[#This Row],[Subcategory EN]])&gt;0," 
" &amp;DocCalculation[[#This Row],[Subcategory EN]],)</f>
        <v>Workers 
Skill level</v>
      </c>
      <c r="D29" s="449" t="s">
        <v>1766</v>
      </c>
      <c r="E29" s="847" t="str">
        <f>DocCalculation[[#This Row],[Category DE]]&amp;IF(LEN(DocCalculation[[#This Row],[Subcategory DE]])&gt;0," 
" &amp;DocCalculation[[#This Row],[Subcategory DE]],)</f>
        <v>Mitarbeiter 
Qualifikation</v>
      </c>
      <c r="F29" s="19" t="s">
        <v>1765</v>
      </c>
      <c r="G29" s="6" t="s">
        <v>464</v>
      </c>
      <c r="H29" s="6" t="s">
        <v>1960</v>
      </c>
      <c r="I29" s="6" t="s">
        <v>354</v>
      </c>
      <c r="J29" s="6" t="s">
        <v>376</v>
      </c>
      <c r="K29" s="6" t="s">
        <v>153</v>
      </c>
      <c r="L29" s="6">
        <v>1</v>
      </c>
    </row>
    <row r="30" spans="2:12" ht="114.75" hidden="1" outlineLevel="1">
      <c r="B30" s="6" t="s">
        <v>275</v>
      </c>
      <c r="C30" s="847" t="str">
        <f>DocCalculation[[#This Row],[Category EN]]&amp;IF(LEN(DocCalculation[[#This Row],[Subcategory EN]])&gt;0," 
" &amp;DocCalculation[[#This Row],[Subcategory EN]],)</f>
        <v>Workers 
Labor costs</v>
      </c>
      <c r="D30" s="449" t="s">
        <v>2430</v>
      </c>
      <c r="E30" s="848" t="str">
        <f>DocCalculation[[#This Row],[Category DE]]&amp;IF(LEN(DocCalculation[[#This Row],[Subcategory DE]])&gt;0," 
" &amp;DocCalculation[[#This Row],[Subcategory DE]],)</f>
        <v>Mitarbeiter 
Arbeitskosten</v>
      </c>
      <c r="F30" s="19" t="s">
        <v>2429</v>
      </c>
      <c r="G30" s="6" t="s">
        <v>464</v>
      </c>
      <c r="H30" s="6" t="s">
        <v>1959</v>
      </c>
      <c r="I30" s="6" t="s">
        <v>354</v>
      </c>
      <c r="J30" s="6" t="s">
        <v>374</v>
      </c>
      <c r="K30" s="460" t="s">
        <v>119</v>
      </c>
      <c r="L30" s="6">
        <v>1</v>
      </c>
    </row>
    <row r="31" spans="2:12" ht="38.25" hidden="1" outlineLevel="1">
      <c r="B31" s="6" t="s">
        <v>276</v>
      </c>
      <c r="C31" s="847" t="str">
        <f>DocCalculation[[#This Row],[Category EN]]&amp;IF(LEN(DocCalculation[[#This Row],[Subcategory EN]])&gt;0," 
" &amp;DocCalculation[[#This Row],[Subcategory EN]],)</f>
        <v>Workers 
Total</v>
      </c>
      <c r="D31" s="449" t="s">
        <v>1242</v>
      </c>
      <c r="E31" s="848" t="str">
        <f>DocCalculation[[#This Row],[Category DE]]&amp;IF(LEN(DocCalculation[[#This Row],[Subcategory DE]])&gt;0," 
" &amp;DocCalculation[[#This Row],[Subcategory DE]],)</f>
        <v>Mitarbeiter 
Total</v>
      </c>
      <c r="F31" s="19" t="s">
        <v>1241</v>
      </c>
      <c r="G31" s="6" t="s">
        <v>464</v>
      </c>
      <c r="H31" s="6" t="s">
        <v>70</v>
      </c>
      <c r="I31" s="6" t="s">
        <v>354</v>
      </c>
      <c r="J31" s="6" t="s">
        <v>70</v>
      </c>
      <c r="K31" s="460" t="s">
        <v>300</v>
      </c>
      <c r="L31" s="6">
        <v>1</v>
      </c>
    </row>
    <row r="32" spans="2:12" ht="38.25" hidden="1" outlineLevel="1">
      <c r="B32" s="6" t="s">
        <v>51</v>
      </c>
      <c r="C32" s="847" t="str">
        <f>DocCalculation[[#This Row],[Category EN]]&amp;IF(LEN(DocCalculation[[#This Row],[Subcategory EN]])&gt;0," 
" &amp;DocCalculation[[#This Row],[Subcategory EN]],)</f>
        <v>Tools/Jigs 
Description</v>
      </c>
      <c r="D32" s="449" t="s">
        <v>465</v>
      </c>
      <c r="E32" s="847" t="str">
        <f>DocCalculation[[#This Row],[Category DE]]&amp;IF(LEN(DocCalculation[[#This Row],[Subcategory DE]])&gt;0," 
" &amp;DocCalculation[[#This Row],[Subcategory DE]],)</f>
        <v>Werkzeuge/ Vorrichtungen 
Bezeichnung</v>
      </c>
      <c r="F32" s="19" t="s">
        <v>417</v>
      </c>
      <c r="G32" s="6" t="s">
        <v>466</v>
      </c>
      <c r="H32" s="6" t="s">
        <v>69</v>
      </c>
      <c r="I32" s="6" t="s">
        <v>377</v>
      </c>
      <c r="J32" s="6" t="s">
        <v>2</v>
      </c>
      <c r="K32" s="6"/>
      <c r="L32" s="6">
        <v>1</v>
      </c>
    </row>
    <row r="33" spans="2:12" ht="38.25" hidden="1" outlineLevel="1">
      <c r="B33" s="6" t="s">
        <v>277</v>
      </c>
      <c r="C33" s="847" t="str">
        <f>DocCalculation[[#This Row],[Category EN]]&amp;IF(LEN(DocCalculation[[#This Row],[Subcategory EN]])&gt;0," 
" &amp;DocCalculation[[#This Row],[Subcategory EN]],)</f>
        <v>Tools/Jigs 
Quantitiy</v>
      </c>
      <c r="D33" s="449" t="s">
        <v>467</v>
      </c>
      <c r="E33" s="847" t="str">
        <f>DocCalculation[[#This Row],[Category DE]]&amp;IF(LEN(DocCalculation[[#This Row],[Subcategory DE]])&gt;0," 
" &amp;DocCalculation[[#This Row],[Subcategory DE]],)</f>
        <v>Werkzeuge/ Vorrichtungen 
Anzahl</v>
      </c>
      <c r="F33" s="19" t="s">
        <v>378</v>
      </c>
      <c r="G33" s="6" t="s">
        <v>466</v>
      </c>
      <c r="H33" s="6" t="s">
        <v>1961</v>
      </c>
      <c r="I33" s="6" t="s">
        <v>377</v>
      </c>
      <c r="J33" s="6" t="s">
        <v>35</v>
      </c>
      <c r="K33" s="6"/>
      <c r="L33" s="6">
        <v>1</v>
      </c>
    </row>
    <row r="34" spans="2:12" ht="38.25" hidden="1" outlineLevel="1">
      <c r="B34" s="6" t="s">
        <v>278</v>
      </c>
      <c r="C34" s="847" t="str">
        <f>DocCalculation[[#This Row],[Category EN]]&amp;IF(LEN(DocCalculation[[#This Row],[Subcategory EN]])&gt;0," 
" &amp;DocCalculation[[#This Row],[Subcategory EN]],)</f>
        <v>Tools/Jigs 
Lifetime</v>
      </c>
      <c r="D34" s="463" t="s">
        <v>468</v>
      </c>
      <c r="E34" s="847" t="str">
        <f>DocCalculation[[#This Row],[Category DE]]&amp;IF(LEN(DocCalculation[[#This Row],[Subcategory DE]])&gt;0," 
" &amp;DocCalculation[[#This Row],[Subcategory DE]],)</f>
        <v>Werkzeuge/ Vorrichtungen 
Standzeit</v>
      </c>
      <c r="F34" s="19" t="s">
        <v>2375</v>
      </c>
      <c r="G34" s="6" t="s">
        <v>466</v>
      </c>
      <c r="H34" s="6" t="s">
        <v>2374</v>
      </c>
      <c r="I34" s="6" t="s">
        <v>377</v>
      </c>
      <c r="J34" s="6" t="s">
        <v>348</v>
      </c>
      <c r="K34" s="6"/>
      <c r="L34" s="6">
        <v>1</v>
      </c>
    </row>
    <row r="35" spans="2:12" ht="38.25" hidden="1" outlineLevel="1">
      <c r="B35" s="6" t="s">
        <v>279</v>
      </c>
      <c r="C35" s="847" t="str">
        <f>DocCalculation[[#This Row],[Category EN]]&amp;IF(LEN(DocCalculation[[#This Row],[Subcategory EN]])&gt;0," 
" &amp;DocCalculation[[#This Row],[Subcategory EN]],)</f>
        <v>Tools/Jigs 
Price</v>
      </c>
      <c r="D35" s="449" t="s">
        <v>470</v>
      </c>
      <c r="E35" s="847" t="str">
        <f>DocCalculation[[#This Row],[Category DE]]&amp;IF(LEN(DocCalculation[[#This Row],[Subcategory DE]])&gt;0," 
" &amp;DocCalculation[[#This Row],[Subcategory DE]],)</f>
        <v>Werkzeuge/ Vorrichtungen 
Preis</v>
      </c>
      <c r="F35" s="19" t="s">
        <v>379</v>
      </c>
      <c r="G35" s="6" t="s">
        <v>466</v>
      </c>
      <c r="H35" s="6" t="s">
        <v>157</v>
      </c>
      <c r="I35" s="6" t="s">
        <v>377</v>
      </c>
      <c r="J35" s="6" t="s">
        <v>11</v>
      </c>
      <c r="K35" s="6" t="s">
        <v>61</v>
      </c>
      <c r="L35" s="6">
        <v>1</v>
      </c>
    </row>
    <row r="36" spans="2:12" ht="38.25" hidden="1" outlineLevel="1">
      <c r="B36" s="6" t="s">
        <v>353</v>
      </c>
      <c r="C36" s="847" t="str">
        <f>DocCalculation[[#This Row],[Category EN]]&amp;IF(LEN(DocCalculation[[#This Row],[Subcategory EN]])&gt;0," 
" &amp;DocCalculation[[#This Row],[Subcategory EN]],)</f>
        <v>Tools / Jigs 
Price per piece</v>
      </c>
      <c r="D36" s="449" t="s">
        <v>471</v>
      </c>
      <c r="E36" s="847" t="str">
        <f>DocCalculation[[#This Row],[Category DE]]&amp;IF(LEN(DocCalculation[[#This Row],[Subcategory DE]])&gt;0," 
" &amp;DocCalculation[[#This Row],[Subcategory DE]],)</f>
        <v>Werkzeuge/ Vorrichtungen 
Preis pro Stück</v>
      </c>
      <c r="F36" s="19" t="s">
        <v>418</v>
      </c>
      <c r="G36" s="6" t="s">
        <v>472</v>
      </c>
      <c r="H36" s="6" t="s">
        <v>473</v>
      </c>
      <c r="I36" s="6" t="s">
        <v>377</v>
      </c>
      <c r="J36" s="6" t="s">
        <v>380</v>
      </c>
      <c r="K36" s="6" t="s">
        <v>300</v>
      </c>
      <c r="L36" s="6">
        <v>1</v>
      </c>
    </row>
    <row r="37" spans="2:12" ht="38.25" hidden="1" outlineLevel="1">
      <c r="B37" s="6" t="s">
        <v>352</v>
      </c>
      <c r="C37" s="847" t="str">
        <f>DocCalculation[[#This Row],[Category EN]]&amp;IF(LEN(DocCalculation[[#This Row],[Subcategory EN]])&gt;0," 
" &amp;DocCalculation[[#This Row],[Subcategory EN]],)</f>
        <v>Wear Tools 
Description</v>
      </c>
      <c r="D37" s="449" t="s">
        <v>474</v>
      </c>
      <c r="E37" s="847" t="str">
        <f>DocCalculation[[#This Row],[Category DE]]&amp;IF(LEN(DocCalculation[[#This Row],[Subcategory DE]])&gt;0," 
" &amp;DocCalculation[[#This Row],[Subcategory DE]],)</f>
        <v>Verschleißwerkzeuge 
Bezeichnung</v>
      </c>
      <c r="F37" s="19" t="s">
        <v>351</v>
      </c>
      <c r="G37" s="6" t="s">
        <v>208</v>
      </c>
      <c r="H37" s="6" t="s">
        <v>69</v>
      </c>
      <c r="I37" s="6" t="s">
        <v>86</v>
      </c>
      <c r="J37" s="6" t="s">
        <v>2</v>
      </c>
      <c r="K37" s="6"/>
      <c r="L37" s="6">
        <v>1</v>
      </c>
    </row>
    <row r="38" spans="2:12" ht="38.25" hidden="1" outlineLevel="1">
      <c r="B38" s="6" t="s">
        <v>350</v>
      </c>
      <c r="C38" s="847" t="str">
        <f>DocCalculation[[#This Row],[Category EN]]&amp;IF(LEN(DocCalculation[[#This Row],[Subcategory EN]])&gt;0," 
" &amp;DocCalculation[[#This Row],[Subcategory EN]],)</f>
        <v>Wear Tools 
Quantity</v>
      </c>
      <c r="D38" s="449" t="s">
        <v>475</v>
      </c>
      <c r="E38" s="847" t="str">
        <f>DocCalculation[[#This Row],[Category DE]]&amp;IF(LEN(DocCalculation[[#This Row],[Subcategory DE]])&gt;0," 
" &amp;DocCalculation[[#This Row],[Subcategory DE]],)</f>
        <v>Verschleißwerkzeuge 
Anzahl</v>
      </c>
      <c r="F38" s="19" t="s">
        <v>1484</v>
      </c>
      <c r="G38" s="6" t="s">
        <v>208</v>
      </c>
      <c r="H38" s="6" t="s">
        <v>476</v>
      </c>
      <c r="I38" s="6" t="s">
        <v>86</v>
      </c>
      <c r="J38" s="6" t="s">
        <v>35</v>
      </c>
      <c r="K38" s="6"/>
      <c r="L38" s="6">
        <v>1</v>
      </c>
    </row>
    <row r="39" spans="2:12" ht="38.25" hidden="1" outlineLevel="1">
      <c r="B39" s="6" t="s">
        <v>349</v>
      </c>
      <c r="C39" s="847" t="str">
        <f>DocCalculation[[#This Row],[Category EN]]&amp;IF(LEN(DocCalculation[[#This Row],[Subcategory EN]])&gt;0," 
" &amp;DocCalculation[[#This Row],[Subcategory EN]],)</f>
        <v>Wear Tools 
Service life</v>
      </c>
      <c r="D39" s="449" t="s">
        <v>1764</v>
      </c>
      <c r="E39" s="847" t="str">
        <f>DocCalculation[[#This Row],[Category DE]]&amp;IF(LEN(DocCalculation[[#This Row],[Subcategory DE]])&gt;0," 
" &amp;DocCalculation[[#This Row],[Subcategory DE]],)</f>
        <v>Verschleißwerkzeuge 
Standzeit</v>
      </c>
      <c r="F39" s="19" t="s">
        <v>1763</v>
      </c>
      <c r="G39" s="6" t="s">
        <v>208</v>
      </c>
      <c r="H39" s="6" t="s">
        <v>469</v>
      </c>
      <c r="I39" s="6" t="s">
        <v>86</v>
      </c>
      <c r="J39" s="6" t="s">
        <v>348</v>
      </c>
      <c r="K39" s="6"/>
      <c r="L39" s="6">
        <v>1</v>
      </c>
    </row>
    <row r="40" spans="2:12" ht="38.25" hidden="1" outlineLevel="1">
      <c r="B40" s="6" t="s">
        <v>347</v>
      </c>
      <c r="C40" s="847" t="str">
        <f>DocCalculation[[#This Row],[Category EN]]&amp;IF(LEN(DocCalculation[[#This Row],[Subcategory EN]])&gt;0," 
" &amp;DocCalculation[[#This Row],[Subcategory EN]],)</f>
        <v>Wear Tools 
Price</v>
      </c>
      <c r="D40" s="449" t="s">
        <v>477</v>
      </c>
      <c r="E40" s="847" t="str">
        <f>DocCalculation[[#This Row],[Category DE]]&amp;IF(LEN(DocCalculation[[#This Row],[Subcategory DE]])&gt;0," 
" &amp;DocCalculation[[#This Row],[Subcategory DE]],)</f>
        <v>Verschleißwerkzeuge 
Preis</v>
      </c>
      <c r="F40" s="19" t="s">
        <v>381</v>
      </c>
      <c r="G40" s="6" t="s">
        <v>208</v>
      </c>
      <c r="H40" s="6" t="s">
        <v>157</v>
      </c>
      <c r="I40" s="6" t="s">
        <v>86</v>
      </c>
      <c r="J40" s="6" t="s">
        <v>11</v>
      </c>
      <c r="K40" s="6" t="s">
        <v>61</v>
      </c>
      <c r="L40" s="6">
        <v>1</v>
      </c>
    </row>
    <row r="41" spans="2:12" ht="38.25" hidden="1" outlineLevel="1">
      <c r="B41" s="6" t="s">
        <v>346</v>
      </c>
      <c r="C41" s="847" t="str">
        <f>DocCalculation[[#This Row],[Category EN]]&amp;IF(LEN(DocCalculation[[#This Row],[Subcategory EN]])&gt;0," 
" &amp;DocCalculation[[#This Row],[Subcategory EN]],)</f>
        <v>Wear Tools 
Price per piece</v>
      </c>
      <c r="D41" s="449" t="s">
        <v>478</v>
      </c>
      <c r="E41" s="847" t="str">
        <f>DocCalculation[[#This Row],[Category DE]]&amp;IF(LEN(DocCalculation[[#This Row],[Subcategory DE]])&gt;0," 
" &amp;DocCalculation[[#This Row],[Subcategory DE]],)</f>
        <v>Verschleißwerkzeuge 
Preis pro Stück</v>
      </c>
      <c r="F41" s="19" t="s">
        <v>419</v>
      </c>
      <c r="G41" s="6" t="s">
        <v>208</v>
      </c>
      <c r="H41" s="6" t="s">
        <v>473</v>
      </c>
      <c r="I41" s="6" t="s">
        <v>86</v>
      </c>
      <c r="J41" s="6" t="s">
        <v>380</v>
      </c>
      <c r="K41" s="6" t="s">
        <v>300</v>
      </c>
      <c r="L41" s="6">
        <v>1</v>
      </c>
    </row>
    <row r="42" spans="2:12" ht="25.5" hidden="1" outlineLevel="1">
      <c r="B42" s="6" t="s">
        <v>345</v>
      </c>
      <c r="C42" s="847" t="str">
        <f>DocCalculation[[#This Row],[Category EN]]&amp;IF(LEN(DocCalculation[[#This Row],[Subcategory EN]])&gt;0," 
" &amp;DocCalculation[[#This Row],[Subcategory EN]],)</f>
        <v>Production scrap 
Scrap rate</v>
      </c>
      <c r="D42" s="449" t="s">
        <v>479</v>
      </c>
      <c r="E42" s="847" t="str">
        <f>DocCalculation[[#This Row],[Category DE]]&amp;IF(LEN(DocCalculation[[#This Row],[Subcategory DE]])&gt;0," 
" &amp;DocCalculation[[#This Row],[Subcategory DE]],)</f>
        <v>Fertigungsausschuss 
Ausschussrate</v>
      </c>
      <c r="F42" s="19" t="s">
        <v>344</v>
      </c>
      <c r="G42" s="6" t="s">
        <v>480</v>
      </c>
      <c r="H42" s="6" t="s">
        <v>481</v>
      </c>
      <c r="I42" s="6" t="s">
        <v>333</v>
      </c>
      <c r="J42" s="6" t="s">
        <v>77</v>
      </c>
      <c r="K42" s="6" t="s">
        <v>3</v>
      </c>
      <c r="L42" s="6">
        <v>1</v>
      </c>
    </row>
    <row r="43" spans="2:12" ht="25.5" hidden="1" outlineLevel="1">
      <c r="B43" s="6" t="s">
        <v>343</v>
      </c>
      <c r="C43" s="847" t="str">
        <f>DocCalculation[[#This Row],[Category EN]]&amp;IF(LEN(DocCalculation[[#This Row],[Subcategory EN]])&gt;0," 
" &amp;DocCalculation[[#This Row],[Subcategory EN]],)</f>
        <v>Production scrap 
Rework share</v>
      </c>
      <c r="D43" s="449" t="s">
        <v>482</v>
      </c>
      <c r="E43" s="847" t="str">
        <f>DocCalculation[[#This Row],[Category DE]]&amp;IF(LEN(DocCalculation[[#This Row],[Subcategory DE]])&gt;0," 
" &amp;DocCalculation[[#This Row],[Subcategory DE]],)</f>
        <v>Fertigungsausschuss 
Nacharbeitanteil</v>
      </c>
      <c r="F43" s="19" t="s">
        <v>341</v>
      </c>
      <c r="G43" s="6" t="s">
        <v>480</v>
      </c>
      <c r="H43" s="6" t="s">
        <v>483</v>
      </c>
      <c r="I43" s="6" t="s">
        <v>333</v>
      </c>
      <c r="J43" s="6" t="s">
        <v>342</v>
      </c>
      <c r="K43" s="6" t="s">
        <v>3</v>
      </c>
      <c r="L43" s="6">
        <v>1</v>
      </c>
    </row>
    <row r="44" spans="2:12" ht="25.5" hidden="1" outlineLevel="1">
      <c r="B44" s="6" t="s">
        <v>340</v>
      </c>
      <c r="C44" s="847" t="str">
        <f>DocCalculation[[#This Row],[Category EN]]&amp;IF(LEN(DocCalculation[[#This Row],[Subcategory EN]])&gt;0," 
" &amp;DocCalculation[[#This Row],[Subcategory EN]],)</f>
        <v>Production scrap 
Rework costs</v>
      </c>
      <c r="D44" s="449" t="s">
        <v>484</v>
      </c>
      <c r="E44" s="847" t="str">
        <f>DocCalculation[[#This Row],[Category DE]]&amp;IF(LEN(DocCalculation[[#This Row],[Subcategory DE]])&gt;0," 
" &amp;DocCalculation[[#This Row],[Subcategory DE]],)</f>
        <v>Fertigungsausschuss 
Nacharbeitskosten</v>
      </c>
      <c r="F44" s="19" t="s">
        <v>338</v>
      </c>
      <c r="G44" s="6" t="s">
        <v>480</v>
      </c>
      <c r="H44" s="6" t="s">
        <v>485</v>
      </c>
      <c r="I44" s="6" t="s">
        <v>333</v>
      </c>
      <c r="J44" s="6" t="s">
        <v>339</v>
      </c>
      <c r="K44" s="6" t="s">
        <v>300</v>
      </c>
      <c r="L44" s="6">
        <v>1</v>
      </c>
    </row>
    <row r="45" spans="2:12" ht="38.25" hidden="1" outlineLevel="1">
      <c r="B45" s="6" t="s">
        <v>337</v>
      </c>
      <c r="C45" s="847" t="str">
        <f>DocCalculation[[#This Row],[Category EN]]&amp;IF(LEN(DocCalculation[[#This Row],[Subcategory EN]])&gt;0," 
" &amp;DocCalculation[[#This Row],[Subcategory EN]],)</f>
        <v>Production scrap 
Scrap before this production stage</v>
      </c>
      <c r="D45" s="449" t="s">
        <v>486</v>
      </c>
      <c r="E45" s="847" t="str">
        <f>DocCalculation[[#This Row],[Category DE]]&amp;IF(LEN(DocCalculation[[#This Row],[Subcategory DE]])&gt;0," 
" &amp;DocCalculation[[#This Row],[Subcategory DE]],)</f>
        <v>Fertigungsausschuss 
Ausschuss vor dieser Fertigungsstufe</v>
      </c>
      <c r="F45" s="19" t="s">
        <v>382</v>
      </c>
      <c r="G45" s="6" t="s">
        <v>480</v>
      </c>
      <c r="H45" s="6" t="s">
        <v>1239</v>
      </c>
      <c r="I45" s="6" t="s">
        <v>333</v>
      </c>
      <c r="J45" s="6" t="s">
        <v>336</v>
      </c>
      <c r="K45" s="6" t="s">
        <v>300</v>
      </c>
      <c r="L45" s="6">
        <v>1</v>
      </c>
    </row>
    <row r="46" spans="2:12" ht="38.25" hidden="1" outlineLevel="1">
      <c r="B46" s="6" t="s">
        <v>335</v>
      </c>
      <c r="C46" s="847" t="str">
        <f>DocCalculation[[#This Row],[Category EN]]&amp;IF(LEN(DocCalculation[[#This Row],[Subcategory EN]])&gt;0," 
" &amp;DocCalculation[[#This Row],[Subcategory EN]],)</f>
        <v>Production scrap 
Average rework costs</v>
      </c>
      <c r="D46" s="449" t="s">
        <v>487</v>
      </c>
      <c r="E46" s="847" t="str">
        <f>DocCalculation[[#This Row],[Category DE]]&amp;IF(LEN(DocCalculation[[#This Row],[Subcategory DE]])&gt;0," 
" &amp;DocCalculation[[#This Row],[Subcategory DE]],)</f>
        <v>Fertigungsausschuss 
durchschnittliche Nacharbeitskosten</v>
      </c>
      <c r="F46" s="19" t="s">
        <v>420</v>
      </c>
      <c r="G46" s="6" t="s">
        <v>480</v>
      </c>
      <c r="H46" s="6" t="s">
        <v>1962</v>
      </c>
      <c r="I46" s="6" t="s">
        <v>333</v>
      </c>
      <c r="J46" s="6" t="s">
        <v>383</v>
      </c>
      <c r="K46" s="6" t="s">
        <v>300</v>
      </c>
      <c r="L46" s="6">
        <v>1</v>
      </c>
    </row>
    <row r="47" spans="2:12" ht="89.25" hidden="1" outlineLevel="1">
      <c r="B47" s="6" t="s">
        <v>334</v>
      </c>
      <c r="C47" s="847" t="str">
        <f>DocCalculation[[#This Row],[Category EN]]&amp;IF(LEN(DocCalculation[[#This Row],[Subcategory EN]])&gt;0," 
" &amp;DocCalculation[[#This Row],[Subcategory EN]],)</f>
        <v>Production scrap 
Total</v>
      </c>
      <c r="D47" s="449" t="s">
        <v>1496</v>
      </c>
      <c r="E47" s="847" t="str">
        <f>DocCalculation[[#This Row],[Category DE]]&amp;IF(LEN(DocCalculation[[#This Row],[Subcategory DE]])&gt;0," 
" &amp;DocCalculation[[#This Row],[Subcategory DE]],)</f>
        <v>Fertigungsausschuss 
Total</v>
      </c>
      <c r="F47" s="19" t="s">
        <v>421</v>
      </c>
      <c r="G47" s="6" t="s">
        <v>480</v>
      </c>
      <c r="H47" s="6" t="s">
        <v>70</v>
      </c>
      <c r="I47" s="6" t="s">
        <v>333</v>
      </c>
      <c r="J47" s="6" t="s">
        <v>70</v>
      </c>
      <c r="K47" s="6" t="s">
        <v>300</v>
      </c>
      <c r="L47" s="6">
        <v>1</v>
      </c>
    </row>
    <row r="48" spans="2:12" ht="25.5" hidden="1" outlineLevel="1">
      <c r="B48" s="6" t="s">
        <v>332</v>
      </c>
      <c r="C48" s="847" t="str">
        <f>DocCalculation[[#This Row],[Category EN]]&amp;IF(LEN(DocCalculation[[#This Row],[Subcategory EN]])&gt;0," 
" &amp;DocCalculation[[#This Row],[Subcategory EN]],)</f>
        <v>Indirect Mfg. 
IMHR</v>
      </c>
      <c r="D48" s="449" t="s">
        <v>1225</v>
      </c>
      <c r="E48" s="847" t="str">
        <f>DocCalculation[[#This Row],[Category DE]]&amp;IF(LEN(DocCalculation[[#This Row],[Subcategory DE]])&gt;0," 
" &amp;DocCalculation[[#This Row],[Subcategory DE]],)</f>
        <v>RFGK 
RSS</v>
      </c>
      <c r="F48" s="19" t="s">
        <v>1562</v>
      </c>
      <c r="G48" s="6" t="s">
        <v>167</v>
      </c>
      <c r="H48" s="6" t="s">
        <v>1223</v>
      </c>
      <c r="I48" s="6" t="s">
        <v>98</v>
      </c>
      <c r="J48" s="6" t="s">
        <v>63</v>
      </c>
      <c r="K48" s="6" t="s">
        <v>119</v>
      </c>
      <c r="L48" s="6">
        <v>1</v>
      </c>
    </row>
    <row r="49" spans="2:12" ht="63.75" hidden="1" outlineLevel="1">
      <c r="B49" s="6" t="s">
        <v>331</v>
      </c>
      <c r="C49" s="847" t="str">
        <f>DocCalculation[[#This Row],[Category EN]]&amp;IF(LEN(DocCalculation[[#This Row],[Subcategory EN]])&gt;0," 
" &amp;DocCalculation[[#This Row],[Subcategory EN]],)</f>
        <v>Indirect Mfg. 
Indirect Mfg. Rate</v>
      </c>
      <c r="D49" s="449" t="s">
        <v>1775</v>
      </c>
      <c r="E49" s="847" t="str">
        <f>DocCalculation[[#This Row],[Category DE]]&amp;IF(LEN(DocCalculation[[#This Row],[Subcategory DE]])&gt;0," 
" &amp;DocCalculation[[#This Row],[Subcategory DE]],)</f>
        <v>RFGK 
RFGK-Satz</v>
      </c>
      <c r="F49" s="19" t="s">
        <v>1774</v>
      </c>
      <c r="G49" s="6" t="s">
        <v>167</v>
      </c>
      <c r="H49" s="6" t="s">
        <v>488</v>
      </c>
      <c r="I49" s="6" t="s">
        <v>98</v>
      </c>
      <c r="J49" s="6" t="s">
        <v>64</v>
      </c>
      <c r="K49" s="6" t="s">
        <v>3</v>
      </c>
      <c r="L49" s="6">
        <v>1</v>
      </c>
    </row>
    <row r="50" spans="2:12" ht="38.25" hidden="1" outlineLevel="1">
      <c r="B50" s="6" t="s">
        <v>330</v>
      </c>
      <c r="C50" s="847" t="str">
        <f>DocCalculation[[#This Row],[Category EN]]&amp;IF(LEN(DocCalculation[[#This Row],[Subcategory EN]])&gt;0," 
" &amp;DocCalculation[[#This Row],[Subcategory EN]],)</f>
        <v>Indirect Mfg. 
Total</v>
      </c>
      <c r="D50" s="449" t="s">
        <v>1224</v>
      </c>
      <c r="E50" s="847" t="str">
        <f>DocCalculation[[#This Row],[Category DE]]&amp;IF(LEN(DocCalculation[[#This Row],[Subcategory DE]])&gt;0," 
" &amp;DocCalculation[[#This Row],[Subcategory DE]],)</f>
        <v>RFGK 
Total</v>
      </c>
      <c r="F50" s="19" t="s">
        <v>422</v>
      </c>
      <c r="G50" s="6" t="s">
        <v>167</v>
      </c>
      <c r="H50" s="6" t="s">
        <v>70</v>
      </c>
      <c r="I50" s="6" t="s">
        <v>98</v>
      </c>
      <c r="J50" s="6" t="s">
        <v>70</v>
      </c>
      <c r="K50" s="6" t="s">
        <v>300</v>
      </c>
      <c r="L50" s="6">
        <v>1</v>
      </c>
    </row>
    <row r="51" spans="2:12" ht="63.75" hidden="1" outlineLevel="1">
      <c r="B51" s="6" t="s">
        <v>329</v>
      </c>
      <c r="C51" s="847" t="str">
        <f>DocCalculation[[#This Row],[Category EN]]&amp;IF(LEN(DocCalculation[[#This Row],[Subcategory EN]])&gt;0," 
" &amp;DocCalculation[[#This Row],[Subcategory EN]],)</f>
        <v>Production costs</v>
      </c>
      <c r="D51" s="449" t="s">
        <v>490</v>
      </c>
      <c r="E51" s="847" t="str">
        <f>DocCalculation[[#This Row],[Category DE]]&amp;IF(LEN(DocCalculation[[#This Row],[Subcategory DE]])&gt;0," 
" &amp;DocCalculation[[#This Row],[Subcategory DE]],)</f>
        <v>Fertigungskosten</v>
      </c>
      <c r="F51" s="19" t="s">
        <v>423</v>
      </c>
      <c r="G51" s="6" t="s">
        <v>489</v>
      </c>
      <c r="I51" s="6" t="s">
        <v>384</v>
      </c>
      <c r="K51" s="6" t="s">
        <v>300</v>
      </c>
      <c r="L51" s="6">
        <v>1</v>
      </c>
    </row>
    <row r="52" spans="2:12" ht="191.25" hidden="1" outlineLevel="1">
      <c r="B52" s="6" t="s">
        <v>328</v>
      </c>
      <c r="C52" s="847" t="str">
        <f>DocCalculation[[#This Row],[Category EN]]&amp;IF(LEN(DocCalculation[[#This Row],[Subcategory EN]])&gt;0," 
" &amp;DocCalculation[[#This Row],[Subcategory EN]],)</f>
        <v>Material &amp; Consumables 
Designation</v>
      </c>
      <c r="D52" s="449" t="s">
        <v>1985</v>
      </c>
      <c r="E52" s="847" t="str">
        <f>DocCalculation[[#This Row],[Category DE]]&amp;IF(LEN(DocCalculation[[#This Row],[Subcategory DE]])&gt;0," 
" &amp;DocCalculation[[#This Row],[Subcategory DE]],)</f>
        <v>Material &amp; Verbrauchsstoffe 
Bezeichnung</v>
      </c>
      <c r="F52" s="19" t="s">
        <v>1984</v>
      </c>
      <c r="G52" s="6" t="s">
        <v>491</v>
      </c>
      <c r="H52" s="6" t="s">
        <v>492</v>
      </c>
      <c r="I52" s="6" t="s">
        <v>370</v>
      </c>
      <c r="J52" s="6" t="s">
        <v>2</v>
      </c>
      <c r="K52" s="6"/>
      <c r="L52" s="6">
        <v>1</v>
      </c>
    </row>
    <row r="53" spans="2:12" ht="76.5" hidden="1" outlineLevel="1">
      <c r="B53" s="6" t="s">
        <v>327</v>
      </c>
      <c r="C53" s="847" t="str">
        <f>DocCalculation[[#This Row],[Category EN]]&amp;IF(LEN(DocCalculation[[#This Row],[Subcategory EN]])&gt;0," 
" &amp;DocCalculation[[#This Row],[Subcategory EN]],)</f>
        <v>Material &amp; Consumables 
Quantity</v>
      </c>
      <c r="D53" s="449" t="s">
        <v>2384</v>
      </c>
      <c r="E53" s="847" t="str">
        <f>DocCalculation[[#This Row],[Category DE]]&amp;IF(LEN(DocCalculation[[#This Row],[Subcategory DE]])&gt;0," 
" &amp;DocCalculation[[#This Row],[Subcategory DE]],)</f>
        <v>Material &amp; Verbrauchsstoffe 
Anzahl</v>
      </c>
      <c r="F53" s="19" t="s">
        <v>1735</v>
      </c>
      <c r="G53" s="6" t="s">
        <v>491</v>
      </c>
      <c r="H53" s="6" t="s">
        <v>476</v>
      </c>
      <c r="I53" s="6" t="s">
        <v>370</v>
      </c>
      <c r="J53" s="6" t="s">
        <v>35</v>
      </c>
      <c r="K53" s="6"/>
      <c r="L53" s="6">
        <v>1</v>
      </c>
    </row>
    <row r="54" spans="2:12" ht="38.25" hidden="1" outlineLevel="1">
      <c r="B54" s="6" t="s">
        <v>326</v>
      </c>
      <c r="C54" s="847" t="str">
        <f>DocCalculation[[#This Row],[Category EN]]&amp;IF(LEN(DocCalculation[[#This Row],[Subcategory EN]])&gt;0," 
" &amp;DocCalculation[[#This Row],[Subcategory EN]],)</f>
        <v>Material &amp; Consumables 
Unit</v>
      </c>
      <c r="D54" s="449" t="s">
        <v>493</v>
      </c>
      <c r="E54" s="847" t="str">
        <f>DocCalculation[[#This Row],[Category DE]]&amp;IF(LEN(DocCalculation[[#This Row],[Subcategory DE]])&gt;0," 
" &amp;DocCalculation[[#This Row],[Subcategory DE]],)</f>
        <v>Material &amp; Verbrauchsstoffe 
Einheit</v>
      </c>
      <c r="F54" s="19" t="s">
        <v>385</v>
      </c>
      <c r="G54" s="6" t="s">
        <v>491</v>
      </c>
      <c r="H54" s="6" t="s">
        <v>71</v>
      </c>
      <c r="I54" s="6" t="s">
        <v>370</v>
      </c>
      <c r="J54" s="6" t="s">
        <v>59</v>
      </c>
      <c r="K54" s="6"/>
      <c r="L54" s="6">
        <v>1</v>
      </c>
    </row>
    <row r="55" spans="2:12" ht="38.25" hidden="1" outlineLevel="1">
      <c r="B55" s="6" t="s">
        <v>325</v>
      </c>
      <c r="C55" s="847" t="str">
        <f>DocCalculation[[#This Row],[Category EN]]&amp;IF(LEN(DocCalculation[[#This Row],[Subcategory EN]])&gt;0," 
" &amp;DocCalculation[[#This Row],[Subcategory EN]],)</f>
        <v>Material &amp; Consumables 
Price</v>
      </c>
      <c r="D55" s="449" t="s">
        <v>494</v>
      </c>
      <c r="E55" s="847" t="str">
        <f>DocCalculation[[#This Row],[Category DE]]&amp;IF(LEN(DocCalculation[[#This Row],[Subcategory DE]])&gt;0," 
" &amp;DocCalculation[[#This Row],[Subcategory DE]],)</f>
        <v>Material &amp; Verbrauchsstoffe 
Preis</v>
      </c>
      <c r="F55" s="19" t="s">
        <v>386</v>
      </c>
      <c r="G55" s="6" t="s">
        <v>491</v>
      </c>
      <c r="H55" s="6" t="s">
        <v>157</v>
      </c>
      <c r="I55" s="6" t="s">
        <v>370</v>
      </c>
      <c r="J55" s="6" t="s">
        <v>11</v>
      </c>
      <c r="K55" s="6" t="s">
        <v>61</v>
      </c>
      <c r="L55" s="6">
        <v>1</v>
      </c>
    </row>
    <row r="56" spans="2:12" ht="38.25" hidden="1" outlineLevel="1">
      <c r="B56" s="6" t="s">
        <v>324</v>
      </c>
      <c r="C56" s="847" t="str">
        <f>DocCalculation[[#This Row],[Category EN]]&amp;IF(LEN(DocCalculation[[#This Row],[Subcategory EN]])&gt;0," 
" &amp;DocCalculation[[#This Row],[Subcategory EN]],)</f>
        <v>Material &amp; Consumables 
Total</v>
      </c>
      <c r="D56" s="449" t="s">
        <v>1475</v>
      </c>
      <c r="E56" s="847" t="str">
        <f>DocCalculation[[#This Row],[Category DE]]&amp;IF(LEN(DocCalculation[[#This Row],[Subcategory DE]])&gt;0," 
" &amp;DocCalculation[[#This Row],[Subcategory DE]],)</f>
        <v>Material &amp; Verbrauchsstoffe 
Total</v>
      </c>
      <c r="F56" s="19" t="s">
        <v>1240</v>
      </c>
      <c r="G56" s="6" t="s">
        <v>491</v>
      </c>
      <c r="H56" s="6" t="s">
        <v>70</v>
      </c>
      <c r="I56" s="6" t="s">
        <v>370</v>
      </c>
      <c r="J56" s="6" t="s">
        <v>70</v>
      </c>
      <c r="K56" s="6"/>
      <c r="L56" s="6">
        <v>1</v>
      </c>
    </row>
    <row r="57" spans="2:12" ht="38.25" hidden="1" outlineLevel="1">
      <c r="B57" s="6" t="s">
        <v>323</v>
      </c>
      <c r="C57" s="847" t="str">
        <f>DocCalculation[[#This Row],[Category EN]]&amp;IF(LEN(DocCalculation[[#This Row],[Subcategory EN]])&gt;0," 
" &amp;DocCalculation[[#This Row],[Subcategory EN]],)</f>
        <v>Scrap material 
Scrap rate</v>
      </c>
      <c r="D57" s="449" t="s">
        <v>1749</v>
      </c>
      <c r="E57" s="847" t="str">
        <f>DocCalculation[[#This Row],[Category DE]]&amp;IF(LEN(DocCalculation[[#This Row],[Subcategory DE]])&gt;0," 
" &amp;DocCalculation[[#This Row],[Subcategory DE]],)</f>
        <v>Materialausschuss 
Ausschussrate</v>
      </c>
      <c r="F57" s="19" t="s">
        <v>1748</v>
      </c>
      <c r="G57" s="6" t="s">
        <v>1392</v>
      </c>
      <c r="H57" s="6" t="s">
        <v>481</v>
      </c>
      <c r="I57" s="6" t="s">
        <v>387</v>
      </c>
      <c r="J57" s="6" t="s">
        <v>77</v>
      </c>
      <c r="K57" s="6" t="s">
        <v>3</v>
      </c>
      <c r="L57" s="6">
        <v>1</v>
      </c>
    </row>
    <row r="58" spans="2:12" ht="38.25" hidden="1" outlineLevel="1">
      <c r="B58" s="6" t="s">
        <v>322</v>
      </c>
      <c r="C58" s="847" t="str">
        <f>DocCalculation[[#This Row],[Category EN]]&amp;IF(LEN(DocCalculation[[#This Row],[Subcategory EN]])&gt;0," 
" &amp;DocCalculation[[#This Row],[Subcategory EN]],)</f>
        <v>Scrap material 
Scrap before this production stage</v>
      </c>
      <c r="D58" s="449" t="s">
        <v>1736</v>
      </c>
      <c r="E58" s="847" t="str">
        <f>DocCalculation[[#This Row],[Category DE]]&amp;IF(LEN(DocCalculation[[#This Row],[Subcategory DE]])&gt;0," 
" &amp;DocCalculation[[#This Row],[Subcategory DE]],)</f>
        <v>Materialausschuss 
Ausschuss vor dieser Fertigungsstufe</v>
      </c>
      <c r="F58" s="19" t="s">
        <v>388</v>
      </c>
      <c r="G58" s="6" t="s">
        <v>1392</v>
      </c>
      <c r="H58" s="460" t="s">
        <v>1239</v>
      </c>
      <c r="I58" s="6" t="s">
        <v>387</v>
      </c>
      <c r="J58" s="464" t="s">
        <v>336</v>
      </c>
      <c r="K58" s="6" t="s">
        <v>300</v>
      </c>
      <c r="L58" s="6">
        <v>1</v>
      </c>
    </row>
    <row r="59" spans="2:12" ht="63.75" hidden="1" outlineLevel="1">
      <c r="B59" s="6" t="s">
        <v>321</v>
      </c>
      <c r="C59" s="847" t="str">
        <f>DocCalculation[[#This Row],[Category EN]]&amp;IF(LEN(DocCalculation[[#This Row],[Subcategory EN]])&gt;0," 
" &amp;DocCalculation[[#This Row],[Subcategory EN]],)</f>
        <v>Scrap material 
Total</v>
      </c>
      <c r="D59" s="449" t="s">
        <v>495</v>
      </c>
      <c r="E59" s="847" t="str">
        <f>DocCalculation[[#This Row],[Category DE]]&amp;IF(LEN(DocCalculation[[#This Row],[Subcategory DE]])&gt;0," 
" &amp;DocCalculation[[#This Row],[Subcategory DE]],)</f>
        <v>Materialausschuss 
Total</v>
      </c>
      <c r="F59" s="19" t="s">
        <v>424</v>
      </c>
      <c r="G59" s="6" t="s">
        <v>1392</v>
      </c>
      <c r="H59" s="6" t="s">
        <v>70</v>
      </c>
      <c r="I59" s="6" t="s">
        <v>387</v>
      </c>
      <c r="J59" s="6" t="s">
        <v>70</v>
      </c>
      <c r="K59" s="6" t="s">
        <v>300</v>
      </c>
      <c r="L59" s="6">
        <v>1</v>
      </c>
    </row>
    <row r="60" spans="2:12" ht="76.5" hidden="1" outlineLevel="1">
      <c r="B60" s="6" t="s">
        <v>320</v>
      </c>
      <c r="C60" s="847" t="str">
        <f>DocCalculation[[#This Row],[Category EN]]&amp;IF(LEN(DocCalculation[[#This Row],[Subcategory EN]])&gt;0," 
" &amp;DocCalculation[[#This Row],[Subcategory EN]],)</f>
        <v>Indirect material 
Indirect material rate</v>
      </c>
      <c r="D60" s="449" t="s">
        <v>1752</v>
      </c>
      <c r="E60" s="847" t="str">
        <f>DocCalculation[[#This Row],[Category DE]]&amp;IF(LEN(DocCalculation[[#This Row],[Subcategory DE]])&gt;0," 
" &amp;DocCalculation[[#This Row],[Subcategory DE]],)</f>
        <v>MGK 
MGK-Satz</v>
      </c>
      <c r="F60" s="19" t="s">
        <v>1750</v>
      </c>
      <c r="G60" s="6" t="s">
        <v>1398</v>
      </c>
      <c r="H60" s="6" t="s">
        <v>1751</v>
      </c>
      <c r="I60" s="6" t="s">
        <v>1</v>
      </c>
      <c r="J60" s="6" t="s">
        <v>99</v>
      </c>
      <c r="K60" s="6" t="s">
        <v>3</v>
      </c>
      <c r="L60" s="6">
        <v>1</v>
      </c>
    </row>
    <row r="61" spans="2:12" ht="38.25" hidden="1" outlineLevel="1">
      <c r="B61" s="6" t="s">
        <v>319</v>
      </c>
      <c r="C61" s="847" t="str">
        <f>DocCalculation[[#This Row],[Category EN]]&amp;IF(LEN(DocCalculation[[#This Row],[Subcategory EN]])&gt;0," 
" &amp;DocCalculation[[#This Row],[Subcategory EN]],)</f>
        <v>Indirect material 
Total</v>
      </c>
      <c r="D61" s="449" t="s">
        <v>1753</v>
      </c>
      <c r="E61" s="847" t="str">
        <f>DocCalculation[[#This Row],[Category DE]]&amp;IF(LEN(DocCalculation[[#This Row],[Subcategory DE]])&gt;0," 
" &amp;DocCalculation[[#This Row],[Subcategory DE]],)</f>
        <v>MGK 
Total</v>
      </c>
      <c r="F61" s="19" t="s">
        <v>1738</v>
      </c>
      <c r="G61" s="6" t="s">
        <v>1398</v>
      </c>
      <c r="H61" s="6" t="s">
        <v>70</v>
      </c>
      <c r="I61" s="6" t="s">
        <v>1</v>
      </c>
      <c r="J61" s="6" t="s">
        <v>70</v>
      </c>
      <c r="K61" s="6" t="s">
        <v>300</v>
      </c>
      <c r="L61" s="6">
        <v>1</v>
      </c>
    </row>
    <row r="62" spans="2:12" ht="38.25" hidden="1" outlineLevel="1">
      <c r="B62" s="6" t="s">
        <v>318</v>
      </c>
      <c r="C62" s="847" t="str">
        <f>DocCalculation[[#This Row],[Category EN]]&amp;IF(LEN(DocCalculation[[#This Row],[Subcategory EN]])&gt;0," 
" &amp;DocCalculation[[#This Row],[Subcategory EN]],)</f>
        <v>Material costs</v>
      </c>
      <c r="D62" s="449" t="s">
        <v>1754</v>
      </c>
      <c r="E62" s="847" t="str">
        <f>DocCalculation[[#This Row],[Category DE]]&amp;IF(LEN(DocCalculation[[#This Row],[Subcategory DE]])&gt;0," 
" &amp;DocCalculation[[#This Row],[Subcategory DE]],)</f>
        <v>Materialkosten</v>
      </c>
      <c r="F62" s="19" t="s">
        <v>1737</v>
      </c>
      <c r="G62" s="6" t="s">
        <v>496</v>
      </c>
      <c r="I62" s="6" t="s">
        <v>389</v>
      </c>
      <c r="K62" s="6" t="s">
        <v>300</v>
      </c>
      <c r="L62" s="6">
        <v>1</v>
      </c>
    </row>
    <row r="63" spans="2:12" ht="38.25" hidden="1" outlineLevel="1">
      <c r="B63" s="6" t="s">
        <v>317</v>
      </c>
      <c r="C63" s="847" t="str">
        <f>DocCalculation[[#This Row],[Category EN]]&amp;IF(LEN(DocCalculation[[#This Row],[Subcategory EN]])&gt;0," 
" &amp;DocCalculation[[#This Row],[Subcategory EN]],)</f>
        <v>Production costs</v>
      </c>
      <c r="D63" s="449" t="s">
        <v>497</v>
      </c>
      <c r="E63" s="847" t="str">
        <f>DocCalculation[[#This Row],[Category DE]]&amp;IF(LEN(DocCalculation[[#This Row],[Subcategory DE]])&gt;0," 
" &amp;DocCalculation[[#This Row],[Subcategory DE]],)</f>
        <v>Herstellkosten</v>
      </c>
      <c r="F63" s="19" t="s">
        <v>425</v>
      </c>
      <c r="G63" s="6" t="s">
        <v>489</v>
      </c>
      <c r="I63" s="6" t="s">
        <v>390</v>
      </c>
      <c r="K63" s="6" t="s">
        <v>300</v>
      </c>
      <c r="L63" s="6">
        <v>1</v>
      </c>
    </row>
    <row r="64" spans="2:12" ht="38.25" hidden="1" outlineLevel="1">
      <c r="B64" s="6" t="s">
        <v>316</v>
      </c>
      <c r="C64" s="847" t="str">
        <f>DocCalculation[[#This Row],[Category EN]]&amp;IF(LEN(DocCalculation[[#This Row],[Subcategory EN]])&gt;0," 
" &amp;DocCalculation[[#This Row],[Subcategory EN]],)</f>
        <v>SG&amp;A Added value 
SG&amp;A rate</v>
      </c>
      <c r="D64" s="449" t="s">
        <v>1755</v>
      </c>
      <c r="E64" s="847" t="str">
        <f>DocCalculation[[#This Row],[Category DE]]&amp;IF(LEN(DocCalculation[[#This Row],[Subcategory DE]])&gt;0," 
" &amp;DocCalculation[[#This Row],[Subcategory DE]],)</f>
        <v>VVGK Wertschöpfung 
VVGK-Satz</v>
      </c>
      <c r="F64" s="19" t="s">
        <v>1740</v>
      </c>
      <c r="G64" s="6" t="s">
        <v>498</v>
      </c>
      <c r="H64" s="6" t="s">
        <v>499</v>
      </c>
      <c r="I64" s="6" t="s">
        <v>41</v>
      </c>
      <c r="J64" s="6" t="s">
        <v>393</v>
      </c>
      <c r="K64" s="6" t="s">
        <v>3</v>
      </c>
      <c r="L64" s="6">
        <v>1</v>
      </c>
    </row>
    <row r="65" spans="2:12" ht="38.25" hidden="1" outlineLevel="1">
      <c r="B65" s="6" t="s">
        <v>315</v>
      </c>
      <c r="C65" s="847" t="str">
        <f>DocCalculation[[#This Row],[Category EN]]&amp;IF(LEN(DocCalculation[[#This Row],[Subcategory EN]])&gt;0," 
" &amp;DocCalculation[[#This Row],[Subcategory EN]],)</f>
        <v>SG&amp;A Added value</v>
      </c>
      <c r="D65" s="449" t="s">
        <v>1497</v>
      </c>
      <c r="E65" s="847" t="str">
        <f>DocCalculation[[#This Row],[Category DE]]&amp;IF(LEN(DocCalculation[[#This Row],[Subcategory DE]])&gt;0," 
" &amp;DocCalculation[[#This Row],[Subcategory DE]],)</f>
        <v>VVGK Wertschöpfung</v>
      </c>
      <c r="F65" s="19" t="s">
        <v>426</v>
      </c>
      <c r="G65" s="6" t="s">
        <v>498</v>
      </c>
      <c r="I65" s="6" t="s">
        <v>41</v>
      </c>
      <c r="K65" s="6" t="s">
        <v>300</v>
      </c>
      <c r="L65" s="6">
        <v>1</v>
      </c>
    </row>
    <row r="66" spans="2:12" ht="38.25" hidden="1" outlineLevel="1">
      <c r="B66" s="6" t="s">
        <v>314</v>
      </c>
      <c r="C66" s="847" t="str">
        <f>DocCalculation[[#This Row],[Category EN]]&amp;IF(LEN(DocCalculation[[#This Row],[Subcategory EN]])&gt;0," 
" &amp;DocCalculation[[#This Row],[Subcategory EN]],)</f>
        <v>SG&amp;A Material 
SG&amp;A rate</v>
      </c>
      <c r="D66" s="449" t="s">
        <v>1756</v>
      </c>
      <c r="E66" s="847" t="str">
        <f>DocCalculation[[#This Row],[Category DE]]&amp;IF(LEN(DocCalculation[[#This Row],[Subcategory DE]])&gt;0," 
" &amp;DocCalculation[[#This Row],[Subcategory DE]],)</f>
        <v>VVGK Material 
VVGK-Satz</v>
      </c>
      <c r="F66" s="19" t="s">
        <v>1739</v>
      </c>
      <c r="G66" s="6" t="s">
        <v>500</v>
      </c>
      <c r="H66" s="6" t="s">
        <v>499</v>
      </c>
      <c r="I66" s="6" t="s">
        <v>42</v>
      </c>
      <c r="J66" s="6" t="s">
        <v>393</v>
      </c>
      <c r="K66" s="6" t="s">
        <v>3</v>
      </c>
      <c r="L66" s="6">
        <v>1</v>
      </c>
    </row>
    <row r="67" spans="2:12" ht="38.25" hidden="1" outlineLevel="1">
      <c r="B67" s="6" t="s">
        <v>313</v>
      </c>
      <c r="C67" s="847" t="str">
        <f>DocCalculation[[#This Row],[Category EN]]&amp;IF(LEN(DocCalculation[[#This Row],[Subcategory EN]])&gt;0," 
" &amp;DocCalculation[[#This Row],[Subcategory EN]],)</f>
        <v>SG&amp;A Material</v>
      </c>
      <c r="D67" s="449" t="s">
        <v>1499</v>
      </c>
      <c r="E67" s="847" t="str">
        <f>DocCalculation[[#This Row],[Category DE]]&amp;IF(LEN(DocCalculation[[#This Row],[Subcategory DE]])&gt;0," 
" &amp;DocCalculation[[#This Row],[Subcategory DE]],)</f>
        <v>VVGK Material</v>
      </c>
      <c r="F67" s="19" t="s">
        <v>427</v>
      </c>
      <c r="G67" s="6" t="s">
        <v>500</v>
      </c>
      <c r="I67" s="6" t="s">
        <v>42</v>
      </c>
      <c r="K67" s="6" t="s">
        <v>300</v>
      </c>
      <c r="L67" s="6">
        <v>1</v>
      </c>
    </row>
    <row r="68" spans="2:12" ht="38.25" hidden="1" outlineLevel="1">
      <c r="B68" s="6" t="s">
        <v>312</v>
      </c>
      <c r="C68" s="847" t="str">
        <f>DocCalculation[[#This Row],[Category EN]]&amp;IF(LEN(DocCalculation[[#This Row],[Subcategory EN]])&gt;0," 
" &amp;DocCalculation[[#This Row],[Subcategory EN]],)</f>
        <v>SG&amp;A 
SG&amp;A rate</v>
      </c>
      <c r="D68" s="449" t="s">
        <v>1757</v>
      </c>
      <c r="E68" s="847" t="str">
        <f>DocCalculation[[#This Row],[Category DE]]&amp;IF(LEN(DocCalculation[[#This Row],[Subcategory DE]])&gt;0," 
" &amp;DocCalculation[[#This Row],[Subcategory DE]],)</f>
        <v>VVGK 
VVGK-Satz</v>
      </c>
      <c r="F68" s="19" t="s">
        <v>1741</v>
      </c>
      <c r="G68" s="6" t="s">
        <v>210</v>
      </c>
      <c r="H68" s="6" t="s">
        <v>499</v>
      </c>
      <c r="I68" s="6" t="s">
        <v>13</v>
      </c>
      <c r="J68" s="6" t="s">
        <v>393</v>
      </c>
      <c r="K68" s="6" t="s">
        <v>3</v>
      </c>
      <c r="L68" s="6">
        <v>1</v>
      </c>
    </row>
    <row r="69" spans="2:12" ht="38.25" hidden="1" outlineLevel="1">
      <c r="B69" s="6" t="s">
        <v>311</v>
      </c>
      <c r="C69" s="847" t="str">
        <f>DocCalculation[[#This Row],[Category EN]]&amp;IF(LEN(DocCalculation[[#This Row],[Subcategory EN]])&gt;0," 
" &amp;DocCalculation[[#This Row],[Subcategory EN]],)</f>
        <v>SG&amp;A</v>
      </c>
      <c r="D69" s="449" t="s">
        <v>1758</v>
      </c>
      <c r="E69" s="847" t="str">
        <f>DocCalculation[[#This Row],[Category DE]]&amp;IF(LEN(DocCalculation[[#This Row],[Subcategory DE]])&gt;0," 
" &amp;DocCalculation[[#This Row],[Subcategory DE]],)</f>
        <v>VVGK</v>
      </c>
      <c r="F69" s="19" t="s">
        <v>428</v>
      </c>
      <c r="G69" s="6" t="s">
        <v>210</v>
      </c>
      <c r="I69" s="6" t="s">
        <v>13</v>
      </c>
      <c r="K69" s="6" t="s">
        <v>300</v>
      </c>
      <c r="L69" s="6">
        <v>1</v>
      </c>
    </row>
    <row r="70" spans="2:12" ht="38.25" hidden="1" outlineLevel="1">
      <c r="B70" s="6" t="s">
        <v>310</v>
      </c>
      <c r="C70" s="847" t="str">
        <f>DocCalculation[[#This Row],[Category EN]]&amp;IF(LEN(DocCalculation[[#This Row],[Subcategory EN]])&gt;0," 
" &amp;DocCalculation[[#This Row],[Subcategory EN]],)</f>
        <v>Cost of goods sold</v>
      </c>
      <c r="D70" s="449" t="s">
        <v>502</v>
      </c>
      <c r="E70" s="847" t="str">
        <f>DocCalculation[[#This Row],[Category DE]]&amp;IF(LEN(DocCalculation[[#This Row],[Subcategory DE]])&gt;0," 
" &amp;DocCalculation[[#This Row],[Subcategory DE]],)</f>
        <v>Selbstkosten</v>
      </c>
      <c r="F70" s="19" t="s">
        <v>429</v>
      </c>
      <c r="G70" s="6" t="s">
        <v>501</v>
      </c>
      <c r="I70" s="6" t="s">
        <v>391</v>
      </c>
      <c r="K70" s="6" t="s">
        <v>300</v>
      </c>
      <c r="L70" s="6">
        <v>1</v>
      </c>
    </row>
    <row r="71" spans="2:12" ht="38.25" hidden="1" outlineLevel="1">
      <c r="B71" s="6" t="s">
        <v>309</v>
      </c>
      <c r="C71" s="847" t="str">
        <f>DocCalculation[[#This Row],[Category EN]]&amp;IF(LEN(DocCalculation[[#This Row],[Subcategory EN]])&gt;0," 
" &amp;DocCalculation[[#This Row],[Subcategory EN]],)</f>
        <v>Profit Added value 
Profit rate</v>
      </c>
      <c r="D71" s="449" t="s">
        <v>1759</v>
      </c>
      <c r="E71" s="847" t="str">
        <f>DocCalculation[[#This Row],[Category DE]]&amp;IF(LEN(DocCalculation[[#This Row],[Subcategory DE]])&gt;0," 
" &amp;DocCalculation[[#This Row],[Subcategory DE]],)</f>
        <v>Gewinn Wertschöpfung 
Gewinn-Satz</v>
      </c>
      <c r="F71" s="19" t="s">
        <v>1743</v>
      </c>
      <c r="G71" s="6" t="s">
        <v>503</v>
      </c>
      <c r="H71" s="6" t="s">
        <v>504</v>
      </c>
      <c r="I71" s="6" t="s">
        <v>43</v>
      </c>
      <c r="J71" s="6" t="s">
        <v>392</v>
      </c>
      <c r="K71" s="6" t="s">
        <v>3</v>
      </c>
      <c r="L71" s="6">
        <v>1</v>
      </c>
    </row>
    <row r="72" spans="2:12" ht="38.25" hidden="1" outlineLevel="1">
      <c r="B72" s="6" t="s">
        <v>308</v>
      </c>
      <c r="C72" s="847" t="str">
        <f>DocCalculation[[#This Row],[Category EN]]&amp;IF(LEN(DocCalculation[[#This Row],[Subcategory EN]])&gt;0," 
" &amp;DocCalculation[[#This Row],[Subcategory EN]],)</f>
        <v>Profit Added value</v>
      </c>
      <c r="D72" s="449" t="s">
        <v>505</v>
      </c>
      <c r="E72" s="847" t="str">
        <f>DocCalculation[[#This Row],[Category DE]]&amp;IF(LEN(DocCalculation[[#This Row],[Subcategory DE]])&gt;0," 
" &amp;DocCalculation[[#This Row],[Subcategory DE]],)</f>
        <v>Gewinn Wertschöpfung</v>
      </c>
      <c r="F72" s="19" t="s">
        <v>431</v>
      </c>
      <c r="G72" s="6" t="s">
        <v>503</v>
      </c>
      <c r="I72" s="6" t="s">
        <v>43</v>
      </c>
      <c r="K72" s="6" t="s">
        <v>300</v>
      </c>
      <c r="L72" s="6">
        <v>1</v>
      </c>
    </row>
    <row r="73" spans="2:12" ht="38.25" hidden="1" outlineLevel="1">
      <c r="B73" s="6" t="s">
        <v>307</v>
      </c>
      <c r="C73" s="847" t="str">
        <f>DocCalculation[[#This Row],[Category EN]]&amp;IF(LEN(DocCalculation[[#This Row],[Subcategory EN]])&gt;0," 
" &amp;DocCalculation[[#This Row],[Subcategory EN]],)</f>
        <v>Profit Material 
Profit rate</v>
      </c>
      <c r="D73" s="449" t="s">
        <v>1760</v>
      </c>
      <c r="E73" s="847" t="str">
        <f>DocCalculation[[#This Row],[Category DE]]&amp;IF(LEN(DocCalculation[[#This Row],[Subcategory DE]])&gt;0," 
" &amp;DocCalculation[[#This Row],[Subcategory DE]],)</f>
        <v>Gewinn Material 
Gewinn-Satz</v>
      </c>
      <c r="F73" s="19" t="s">
        <v>1742</v>
      </c>
      <c r="G73" s="6" t="s">
        <v>506</v>
      </c>
      <c r="H73" s="6" t="s">
        <v>504</v>
      </c>
      <c r="I73" s="6" t="s">
        <v>44</v>
      </c>
      <c r="J73" s="6" t="s">
        <v>392</v>
      </c>
      <c r="K73" s="6" t="s">
        <v>3</v>
      </c>
      <c r="L73" s="6">
        <v>1</v>
      </c>
    </row>
    <row r="74" spans="2:12" ht="38.25" hidden="1" outlineLevel="1">
      <c r="B74" s="6" t="s">
        <v>306</v>
      </c>
      <c r="C74" s="847" t="str">
        <f>DocCalculation[[#This Row],[Category EN]]&amp;IF(LEN(DocCalculation[[#This Row],[Subcategory EN]])&gt;0," 
" &amp;DocCalculation[[#This Row],[Subcategory EN]],)</f>
        <v>Profit Material</v>
      </c>
      <c r="D74" s="449" t="s">
        <v>1498</v>
      </c>
      <c r="E74" s="847" t="str">
        <f>DocCalculation[[#This Row],[Category DE]]&amp;IF(LEN(DocCalculation[[#This Row],[Subcategory DE]])&gt;0," 
" &amp;DocCalculation[[#This Row],[Subcategory DE]],)</f>
        <v>Gewinn Material</v>
      </c>
      <c r="F74" s="19" t="s">
        <v>430</v>
      </c>
      <c r="G74" s="6" t="s">
        <v>506</v>
      </c>
      <c r="I74" s="6" t="s">
        <v>44</v>
      </c>
      <c r="K74" s="6" t="s">
        <v>300</v>
      </c>
      <c r="L74" s="6">
        <v>1</v>
      </c>
    </row>
    <row r="75" spans="2:12" ht="38.25" hidden="1" outlineLevel="1">
      <c r="B75" s="6" t="s">
        <v>305</v>
      </c>
      <c r="C75" s="847" t="str">
        <f>DocCalculation[[#This Row],[Category EN]]&amp;IF(LEN(DocCalculation[[#This Row],[Subcategory EN]])&gt;0," 
" &amp;DocCalculation[[#This Row],[Subcategory EN]],)</f>
        <v>Profit 
Profit rate</v>
      </c>
      <c r="D75" s="449" t="s">
        <v>1761</v>
      </c>
      <c r="E75" s="847" t="str">
        <f>DocCalculation[[#This Row],[Category DE]]&amp;IF(LEN(DocCalculation[[#This Row],[Subcategory DE]])&gt;0," 
" &amp;DocCalculation[[#This Row],[Subcategory DE]],)</f>
        <v>Gewinn 
Gewinn-Satz</v>
      </c>
      <c r="F75" s="19" t="s">
        <v>1744</v>
      </c>
      <c r="G75" s="6" t="s">
        <v>209</v>
      </c>
      <c r="H75" s="6" t="s">
        <v>504</v>
      </c>
      <c r="I75" s="6" t="s">
        <v>14</v>
      </c>
      <c r="J75" s="6" t="s">
        <v>392</v>
      </c>
      <c r="K75" s="6" t="s">
        <v>3</v>
      </c>
      <c r="L75" s="6">
        <v>1</v>
      </c>
    </row>
    <row r="76" spans="2:12" ht="51" hidden="1" outlineLevel="1">
      <c r="B76" s="6" t="s">
        <v>304</v>
      </c>
      <c r="C76" s="847" t="str">
        <f>DocCalculation[[#This Row],[Category EN]]&amp;IF(LEN(DocCalculation[[#This Row],[Subcategory EN]])&gt;0," 
" &amp;DocCalculation[[#This Row],[Subcategory EN]],)</f>
        <v>Profit</v>
      </c>
      <c r="D76" s="449" t="s">
        <v>507</v>
      </c>
      <c r="E76" s="847" t="str">
        <f>DocCalculation[[#This Row],[Category DE]]&amp;IF(LEN(DocCalculation[[#This Row],[Subcategory DE]])&gt;0," 
" &amp;DocCalculation[[#This Row],[Subcategory DE]],)</f>
        <v>Gewinn</v>
      </c>
      <c r="F76" s="19" t="s">
        <v>432</v>
      </c>
      <c r="G76" s="6" t="s">
        <v>209</v>
      </c>
      <c r="I76" s="6" t="s">
        <v>14</v>
      </c>
      <c r="K76" s="6" t="s">
        <v>300</v>
      </c>
      <c r="L76" s="6">
        <v>1</v>
      </c>
    </row>
    <row r="77" spans="2:12" ht="38.25" hidden="1" outlineLevel="1">
      <c r="B77" s="6" t="s">
        <v>303</v>
      </c>
      <c r="C77" s="847" t="str">
        <f>DocCalculation[[#This Row],[Category EN]]&amp;IF(LEN(DocCalculation[[#This Row],[Subcategory EN]])&gt;0," 
" &amp;DocCalculation[[#This Row],[Subcategory EN]],)</f>
        <v>Other (Logistics etc.) 
Other costs rate</v>
      </c>
      <c r="D77" s="449" t="s">
        <v>1762</v>
      </c>
      <c r="E77" s="847" t="str">
        <f>DocCalculation[[#This Row],[Category DE]]&amp;IF(LEN(DocCalculation[[#This Row],[Subcategory DE]])&gt;0," 
" &amp;DocCalculation[[#This Row],[Subcategory DE]],)</f>
        <v>Sonstige (Logistik etc.) 
Sonstige Kosten-Satz</v>
      </c>
      <c r="F77" s="19" t="s">
        <v>1747</v>
      </c>
      <c r="G77" s="6" t="s">
        <v>760</v>
      </c>
      <c r="H77" s="6" t="s">
        <v>1470</v>
      </c>
      <c r="I77" s="6" t="s">
        <v>758</v>
      </c>
      <c r="J77" s="6" t="s">
        <v>1471</v>
      </c>
      <c r="K77" s="6" t="s">
        <v>3</v>
      </c>
      <c r="L77" s="6">
        <v>1</v>
      </c>
    </row>
    <row r="78" spans="2:12" ht="102" hidden="1" outlineLevel="1">
      <c r="B78" s="6" t="s">
        <v>302</v>
      </c>
      <c r="C78" s="847" t="str">
        <f>DocCalculation[[#This Row],[Category EN]]&amp;IF(LEN(DocCalculation[[#This Row],[Subcategory EN]])&gt;0," 
" &amp;DocCalculation[[#This Row],[Subcategory EN]],)</f>
        <v>Other (Logistics etc.) 
Individual costs</v>
      </c>
      <c r="D78" s="449" t="s">
        <v>1745</v>
      </c>
      <c r="E78" s="847" t="str">
        <f>DocCalculation[[#This Row],[Category DE]]&amp;IF(LEN(DocCalculation[[#This Row],[Subcategory DE]])&gt;0," 
" &amp;DocCalculation[[#This Row],[Subcategory DE]],)</f>
        <v>Sonstige (Logistik etc.) 
Individuelle Kosten</v>
      </c>
      <c r="F78" s="19" t="s">
        <v>1746</v>
      </c>
      <c r="G78" s="6" t="s">
        <v>760</v>
      </c>
      <c r="H78" s="6" t="s">
        <v>1469</v>
      </c>
      <c r="I78" s="6" t="s">
        <v>758</v>
      </c>
      <c r="J78" s="6" t="s">
        <v>1472</v>
      </c>
      <c r="K78" s="6" t="s">
        <v>300</v>
      </c>
      <c r="L78" s="6">
        <v>1</v>
      </c>
    </row>
    <row r="79" spans="2:12" ht="38.25" hidden="1" outlineLevel="1">
      <c r="B79" s="6" t="s">
        <v>301</v>
      </c>
      <c r="C79" s="847" t="str">
        <f>DocCalculation[[#This Row],[Category EN]]&amp;IF(LEN(DocCalculation[[#This Row],[Subcategory EN]])&gt;0," 
" &amp;DocCalculation[[#This Row],[Subcategory EN]],)</f>
        <v>Other (Logistics etc.) 
Total</v>
      </c>
      <c r="D79" s="449" t="s">
        <v>1474</v>
      </c>
      <c r="E79" s="847" t="str">
        <f>DocCalculation[[#This Row],[Category DE]]&amp;IF(LEN(DocCalculation[[#This Row],[Subcategory DE]])&gt;0," 
" &amp;DocCalculation[[#This Row],[Subcategory DE]],)</f>
        <v>Sonstige (Logistik etc.) 
Total</v>
      </c>
      <c r="F79" s="19" t="s">
        <v>1473</v>
      </c>
      <c r="G79" s="6" t="s">
        <v>760</v>
      </c>
      <c r="H79" s="6" t="s">
        <v>70</v>
      </c>
      <c r="I79" s="6" t="s">
        <v>758</v>
      </c>
      <c r="J79" s="6" t="s">
        <v>70</v>
      </c>
      <c r="K79" s="6" t="s">
        <v>300</v>
      </c>
      <c r="L79" s="6">
        <v>1</v>
      </c>
    </row>
    <row r="80" spans="2:12" ht="38.25" hidden="1" outlineLevel="1">
      <c r="B80" s="6" t="s">
        <v>299</v>
      </c>
      <c r="C80" s="847" t="str">
        <f>DocCalculation[[#This Row],[Category EN]]&amp;IF(LEN(DocCalculation[[#This Row],[Subcategory EN]])&gt;0," 
" &amp;DocCalculation[[#This Row],[Subcategory EN]],)</f>
        <v>Costs 
Single</v>
      </c>
      <c r="D80" s="449" t="s">
        <v>508</v>
      </c>
      <c r="E80" s="847" t="str">
        <f>DocCalculation[[#This Row],[Category DE]]&amp;IF(LEN(DocCalculation[[#This Row],[Subcategory DE]])&gt;0," 
" &amp;DocCalculation[[#This Row],[Subcategory DE]],)</f>
        <v>Kosten 
Einzeln</v>
      </c>
      <c r="F80" s="19" t="s">
        <v>433</v>
      </c>
      <c r="G80" s="6" t="s">
        <v>509</v>
      </c>
      <c r="H80" s="6" t="s">
        <v>160</v>
      </c>
      <c r="I80" s="6" t="s">
        <v>397</v>
      </c>
      <c r="J80" s="6" t="s">
        <v>398</v>
      </c>
      <c r="K80" s="6" t="s">
        <v>61</v>
      </c>
      <c r="L80" s="6">
        <v>1</v>
      </c>
    </row>
    <row r="81" spans="2:12" ht="38.25" hidden="1" outlineLevel="1">
      <c r="B81" s="6" t="s">
        <v>298</v>
      </c>
      <c r="C81" s="847" t="str">
        <f>DocCalculation[[#This Row],[Category EN]]&amp;IF(LEN(DocCalculation[[#This Row],[Subcategory EN]])&gt;0," 
" &amp;DocCalculation[[#This Row],[Subcategory EN]],)</f>
        <v>Costs 
Total</v>
      </c>
      <c r="D81" s="449" t="s">
        <v>510</v>
      </c>
      <c r="E81" s="847" t="str">
        <f>DocCalculation[[#This Row],[Category DE]]&amp;IF(LEN(DocCalculation[[#This Row],[Subcategory DE]])&gt;0," 
" &amp;DocCalculation[[#This Row],[Subcategory DE]],)</f>
        <v>Kosten 
Total</v>
      </c>
      <c r="F81" s="19" t="s">
        <v>434</v>
      </c>
      <c r="G81" s="6" t="s">
        <v>509</v>
      </c>
      <c r="H81" s="6" t="s">
        <v>70</v>
      </c>
      <c r="I81" s="6" t="s">
        <v>397</v>
      </c>
      <c r="J81" s="6" t="s">
        <v>70</v>
      </c>
      <c r="K81" s="6" t="s">
        <v>61</v>
      </c>
      <c r="L81" s="6">
        <v>1</v>
      </c>
    </row>
    <row r="82" spans="2:12" ht="140.25" hidden="1" outlineLevel="1">
      <c r="B82" s="6" t="s">
        <v>297</v>
      </c>
      <c r="C82" s="847" t="str">
        <f>DocCalculation[[#This Row],[Category EN]]&amp;IF(LEN(DocCalculation[[#This Row],[Subcategory EN]])&gt;0," 
" &amp;DocCalculation[[#This Row],[Subcategory EN]],)</f>
        <v>T-% 
Tier surcharge</v>
      </c>
      <c r="D82" s="449" t="s">
        <v>1226</v>
      </c>
      <c r="E82" s="847" t="str">
        <f>DocCalculation[[#This Row],[Category DE]]&amp;IF(LEN(DocCalculation[[#This Row],[Subcategory DE]])&gt;0," 
" &amp;DocCalculation[[#This Row],[Subcategory DE]],)</f>
        <v>T-% 
Tier-Zuschlag</v>
      </c>
      <c r="F82" s="19" t="s">
        <v>1245</v>
      </c>
      <c r="G82" s="6" t="s">
        <v>136</v>
      </c>
      <c r="H82" s="6" t="s">
        <v>1999</v>
      </c>
      <c r="I82" s="6" t="s">
        <v>136</v>
      </c>
      <c r="J82" s="6" t="s">
        <v>396</v>
      </c>
      <c r="K82" s="6"/>
      <c r="L82" s="6">
        <v>1</v>
      </c>
    </row>
    <row r="83" spans="2:12" ht="38.25" hidden="1" outlineLevel="1">
      <c r="B83" s="6" t="s">
        <v>296</v>
      </c>
      <c r="C83" s="847" t="str">
        <f>DocCalculation[[#This Row],[Category EN]]&amp;IF(LEN(DocCalculation[[#This Row],[Subcategory EN]])&gt;0," 
" &amp;DocCalculation[[#This Row],[Subcategory EN]],)</f>
        <v>∑ incl. T-% 
Single</v>
      </c>
      <c r="D83" s="449" t="s">
        <v>1227</v>
      </c>
      <c r="E83" s="847" t="str">
        <f>DocCalculation[[#This Row],[Category DE]]&amp;IF(LEN(DocCalculation[[#This Row],[Subcategory DE]])&gt;0," 
" &amp;DocCalculation[[#This Row],[Subcategory DE]],)</f>
        <v>∑ inkl. T-% 
Einzel</v>
      </c>
      <c r="F83" s="19" t="s">
        <v>399</v>
      </c>
      <c r="G83" s="6" t="s">
        <v>149</v>
      </c>
      <c r="H83" s="6" t="s">
        <v>160</v>
      </c>
      <c r="I83" s="6" t="s">
        <v>137</v>
      </c>
      <c r="J83" s="6" t="s">
        <v>120</v>
      </c>
      <c r="K83" s="6" t="s">
        <v>61</v>
      </c>
      <c r="L83" s="6">
        <v>1</v>
      </c>
    </row>
    <row r="84" spans="2:12" ht="25.5" hidden="1" outlineLevel="1">
      <c r="B84" s="6" t="s">
        <v>295</v>
      </c>
      <c r="C84" s="847" t="str">
        <f>DocCalculation[[#This Row],[Category EN]]&amp;IF(LEN(DocCalculation[[#This Row],[Subcategory EN]])&gt;0," 
" &amp;DocCalculation[[#This Row],[Subcategory EN]],)</f>
        <v>∑ incl. T-% 
Total</v>
      </c>
      <c r="D84" s="449" t="s">
        <v>1228</v>
      </c>
      <c r="E84" s="847" t="str">
        <f>DocCalculation[[#This Row],[Category DE]]&amp;IF(LEN(DocCalculation[[#This Row],[Subcategory DE]])&gt;0," 
" &amp;DocCalculation[[#This Row],[Subcategory DE]],)</f>
        <v>∑ inkl. T-% 
Total</v>
      </c>
      <c r="F84" s="19" t="s">
        <v>394</v>
      </c>
      <c r="G84" s="6" t="s">
        <v>149</v>
      </c>
      <c r="H84" s="6" t="s">
        <v>70</v>
      </c>
      <c r="I84" s="6" t="s">
        <v>137</v>
      </c>
      <c r="J84" s="6" t="s">
        <v>70</v>
      </c>
      <c r="K84" s="6" t="s">
        <v>61</v>
      </c>
      <c r="L84" s="6">
        <v>1</v>
      </c>
    </row>
    <row r="85" spans="2:12" ht="25.5" hidden="1" outlineLevel="1">
      <c r="B85" s="6" t="s">
        <v>294</v>
      </c>
      <c r="C85" s="847" t="str">
        <f>DocCalculation[[#This Row],[Category EN]]&amp;IF(LEN(DocCalculation[[#This Row],[Subcategory EN]])&gt;0," 
" &amp;DocCalculation[[#This Row],[Subcategory EN]],)</f>
        <v>∑ incl. T-% 
Assy</v>
      </c>
      <c r="D85" s="449" t="s">
        <v>2000</v>
      </c>
      <c r="E85" s="847" t="str">
        <f>DocCalculation[[#This Row],[Category DE]]&amp;IF(LEN(DocCalculation[[#This Row],[Subcategory DE]])&gt;0," 
" &amp;DocCalculation[[#This Row],[Subcategory DE]],)</f>
        <v>∑ inkl. T-% 
ZSB</v>
      </c>
      <c r="F85" s="19" t="s">
        <v>395</v>
      </c>
      <c r="G85" s="6" t="s">
        <v>149</v>
      </c>
      <c r="H85" s="6" t="s">
        <v>203</v>
      </c>
      <c r="I85" s="6" t="s">
        <v>137</v>
      </c>
      <c r="J85" s="6" t="s">
        <v>206</v>
      </c>
      <c r="K85" s="6" t="s">
        <v>61</v>
      </c>
      <c r="L85" s="6">
        <v>1</v>
      </c>
    </row>
    <row r="86" spans="2:12" ht="153" hidden="1" outlineLevel="1">
      <c r="B86" s="6" t="s">
        <v>293</v>
      </c>
      <c r="C86" s="847" t="str">
        <f>DocCalculation[[#This Row],[Category EN]]&amp;IF(LEN(DocCalculation[[#This Row],[Subcategory EN]])&gt;0," 
" &amp;DocCalculation[[#This Row],[Subcategory EN]],)</f>
        <v>Supplier structure</v>
      </c>
      <c r="D86" s="449" t="s">
        <v>1468</v>
      </c>
      <c r="E86" s="847" t="str">
        <f>DocCalculation[[#This Row],[Category DE]]&amp;IF(LEN(DocCalculation[[#This Row],[Subcategory DE]])&gt;0," 
" &amp;DocCalculation[[#This Row],[Subcategory DE]],)</f>
        <v>Lieferantenstruktur</v>
      </c>
      <c r="F86" s="19" t="s">
        <v>1794</v>
      </c>
      <c r="G86" s="6" t="s">
        <v>886</v>
      </c>
      <c r="I86" s="6" t="s">
        <v>408</v>
      </c>
      <c r="K86" s="6"/>
      <c r="L86" s="6">
        <v>1</v>
      </c>
    </row>
    <row r="87" spans="2:12" ht="178.5" hidden="1" outlineLevel="1">
      <c r="B87" s="6" t="s">
        <v>3934</v>
      </c>
      <c r="C87" s="847" t="str">
        <f>DocCalculation[[#This Row],[Category EN]]&amp;IF(LEN(DocCalculation[[#This Row],[Subcategory EN]])&gt;0," 
" &amp;DocCalculation[[#This Row],[Subcategory EN]],)</f>
        <v>Cluster</v>
      </c>
      <c r="D87" s="449" t="str" cm="1">
        <f t="array" ref="D87">DocCluster[Body EN]</f>
        <v>The costs listed in the cost estimate can be subdivided into different groups line by line or block by block within clusters.
Three clusters are available, which can be divided into any number of groups. Costs can be assigned to several clusters (e.g. to the injection molding group in the production cluster and to the plastics group in the material cluster), but can only belong to one group within a cluster.
The groups are created in the 'Cluster' tab and the costs are assigned to the corresponding group in the 'Calculation' tab. The cluster columns can be displayed in the 'Calculation' tab via the [ACT - Calculation - Columns - Cluster] menu.
The cell 'B3' can be used to control how costs are displayed. By default (the cell is empty), costs are displayed as a tier structure over the entire calculation. 
If a supplier is selected, the costs will be displayed from the supplier's point of view.</v>
      </c>
      <c r="E87" s="847" t="str">
        <f>DocCalculation[[#This Row],[Category DE]]&amp;IF(LEN(DocCalculation[[#This Row],[Subcategory DE]])&gt;0," 
" &amp;DocCalculation[[#This Row],[Subcategory DE]],)</f>
        <v>Cluster</v>
      </c>
      <c r="F87" s="19" t="str" cm="1">
        <f t="array" ref="F87">DocCluster[Body DE]</f>
        <v>Die in der Kalkulation aufgeführten Kosten lassen sich zeilen- oder blockweise innerhalb von Clustern in verschiedene Gruppen unterteilen.
Es stehen drei Cluster zur Verfügung, die in beliebig viele Gruppen unterteilt werden können. Kosten können mehreren Clustern zugeordnet werden (bspw. der Gruppe Spritzguss im Cluster Produktion und der Gruppe Kunststoffe im Cluster Material), können innerhalb eines Clusters aber immer nur einer Gruppe angehören.
Die Gruppen werden im Reiter 'Cluster' angelegt und die Kosten im Reiter 'Calculation' der entsprechenden Gruppe zugeordnet. Über das Menü [ACT - Kalkulation - Spalten - Cluster] lassen sich die Cluster-Spalten im Reiter 'Calculation' einblenden.
Über die Zelle 'B3' lässt sich steuern, wie KOsten dargestellt werden. Standardmäßig (die Zelle ist leer) werden Kosten über die komplette Kalkulation als Tier-Struktur dargestellt. 
Wird in ein Lieferant ausgewählt, stellen sich die Kosten aus Sicht dieses Lieferanten dar.</v>
      </c>
      <c r="G87" s="6" t="s">
        <v>204</v>
      </c>
      <c r="I87" s="6" t="s">
        <v>204</v>
      </c>
      <c r="K87" s="6"/>
      <c r="L87" s="6"/>
    </row>
    <row r="88" spans="2:12" ht="25.5" hidden="1" outlineLevel="1">
      <c r="B88" s="1094" t="s">
        <v>3405</v>
      </c>
      <c r="C88" s="847" t="str">
        <f>DocCalculation[[#This Row],[Category EN]]&amp;IF(LEN(DocCalculation[[#This Row],[Subcategory EN]])&gt;0," 
" &amp;DocCalculation[[#This Row],[Subcategory EN]],)</f>
        <v>Energy Consumption 
Electricity</v>
      </c>
      <c r="D88" s="1095" t="s">
        <v>3406</v>
      </c>
      <c r="E88" s="847" t="str">
        <f>DocCalculation[[#This Row],[Category DE]]&amp;IF(LEN(DocCalculation[[#This Row],[Subcategory DE]])&gt;0," 
" &amp;DocCalculation[[#This Row],[Subcategory DE]],)</f>
        <v>Energieverbrauch 
Strom</v>
      </c>
      <c r="F88" s="1081" t="s">
        <v>3407</v>
      </c>
      <c r="G88" s="6" t="s">
        <v>3983</v>
      </c>
      <c r="H88" s="6" t="s">
        <v>543</v>
      </c>
      <c r="I88" s="6" t="s">
        <v>3340</v>
      </c>
      <c r="J88" s="6" t="s">
        <v>21</v>
      </c>
      <c r="K88" s="1094" t="s">
        <v>1023</v>
      </c>
      <c r="L88" s="6">
        <v>1</v>
      </c>
    </row>
    <row r="89" spans="2:12" ht="25.5" hidden="1" outlineLevel="1">
      <c r="B89" s="1094" t="s">
        <v>3408</v>
      </c>
      <c r="C89" s="847" t="str">
        <f>DocCalculation[[#This Row],[Category EN]]&amp;IF(LEN(DocCalculation[[#This Row],[Subcategory EN]])&gt;0," 
" &amp;DocCalculation[[#This Row],[Subcategory EN]],)</f>
        <v>Energy Consumption 
Gas</v>
      </c>
      <c r="D89" s="1095" t="s">
        <v>3409</v>
      </c>
      <c r="E89" s="847" t="str">
        <f>DocCalculation[[#This Row],[Category DE]]&amp;IF(LEN(DocCalculation[[#This Row],[Subcategory DE]])&gt;0," 
" &amp;DocCalculation[[#This Row],[Subcategory DE]],)</f>
        <v>Energieverbrauch 
Gas</v>
      </c>
      <c r="F89" s="1081" t="s">
        <v>3410</v>
      </c>
      <c r="G89" s="6" t="s">
        <v>3983</v>
      </c>
      <c r="H89" s="6" t="s">
        <v>580</v>
      </c>
      <c r="I89" s="6" t="s">
        <v>3340</v>
      </c>
      <c r="J89" s="6" t="s">
        <v>580</v>
      </c>
      <c r="K89" s="1094" t="s">
        <v>1023</v>
      </c>
      <c r="L89" s="6">
        <v>1</v>
      </c>
    </row>
    <row r="90" spans="2:12" ht="38.25" hidden="1" outlineLevel="1">
      <c r="B90" s="6" t="s">
        <v>3411</v>
      </c>
      <c r="C90" s="847" t="str">
        <f>DocCalculation[[#This Row],[Category EN]]&amp;IF(LEN(DocCalculation[[#This Row],[Subcategory EN]])&gt;0," 
" &amp;DocCalculation[[#This Row],[Subcategory EN]],)</f>
        <v>CO₂ Manufacturing process 
Machine gCO2-eq</v>
      </c>
      <c r="D90" s="449" t="s">
        <v>3935</v>
      </c>
      <c r="E90" s="847" t="str">
        <f>DocCalculation[[#This Row],[Category DE]]&amp;IF(LEN(DocCalculation[[#This Row],[Subcategory DE]])&gt;0," 
" &amp;DocCalculation[[#This Row],[Subcategory DE]],)</f>
        <v>CO₂ Fertigungsprozess 
Maschine gCO2-eq</v>
      </c>
      <c r="F90" s="19" t="s">
        <v>3936</v>
      </c>
      <c r="G90" s="6" t="s">
        <v>3365</v>
      </c>
      <c r="H90" s="6" t="s">
        <v>3412</v>
      </c>
      <c r="I90" s="6" t="s">
        <v>3341</v>
      </c>
      <c r="J90" s="6" t="s">
        <v>3413</v>
      </c>
      <c r="K90" s="6"/>
      <c r="L90" s="6">
        <v>1</v>
      </c>
    </row>
    <row r="91" spans="2:12" ht="63.75" hidden="1" outlineLevel="1">
      <c r="B91" s="6" t="s">
        <v>3414</v>
      </c>
      <c r="C91" s="847" t="str">
        <f>DocCalculation[[#This Row],[Category EN]]&amp;IF(LEN(DocCalculation[[#This Row],[Subcategory EN]])&gt;0," 
" &amp;DocCalculation[[#This Row],[Subcategory EN]],)</f>
        <v>CO₂ Manufacturing process 
Heat gCO2-eq</v>
      </c>
      <c r="D91" s="449" t="s">
        <v>3416</v>
      </c>
      <c r="E91" s="847" t="str">
        <f>DocCalculation[[#This Row],[Category DE]]&amp;IF(LEN(DocCalculation[[#This Row],[Subcategory DE]])&gt;0," 
" &amp;DocCalculation[[#This Row],[Subcategory DE]],)</f>
        <v>CO₂ Fertigungsprozess 
Wärme gCO2-eq</v>
      </c>
      <c r="F91" s="19" t="s">
        <v>3937</v>
      </c>
      <c r="G91" s="6" t="s">
        <v>3365</v>
      </c>
      <c r="H91" s="6" t="s">
        <v>3415</v>
      </c>
      <c r="I91" s="6" t="s">
        <v>3341</v>
      </c>
      <c r="J91" s="6" t="s">
        <v>3417</v>
      </c>
      <c r="K91" s="6"/>
      <c r="L91" s="6">
        <v>1</v>
      </c>
    </row>
    <row r="92" spans="2:12" ht="63.75" hidden="1" outlineLevel="1">
      <c r="B92" s="6" t="s">
        <v>3418</v>
      </c>
      <c r="C92" s="847" t="str">
        <f>DocCalculation[[#This Row],[Category EN]]&amp;IF(LEN(DocCalculation[[#This Row],[Subcategory EN]])&gt;0," 
" &amp;DocCalculation[[#This Row],[Subcategory EN]],)</f>
        <v>CO₂ Manufacturing process 
ind. Consumption gCO2-eq</v>
      </c>
      <c r="D92" s="449" t="s">
        <v>3420</v>
      </c>
      <c r="E92" s="847" t="str">
        <f>DocCalculation[[#This Row],[Category DE]]&amp;IF(LEN(DocCalculation[[#This Row],[Subcategory DE]])&gt;0," 
" &amp;DocCalculation[[#This Row],[Subcategory DE]],)</f>
        <v>CO₂ Fertigungsprozess 
ind. Verbr. gCO2-eq</v>
      </c>
      <c r="F92" s="19" t="s">
        <v>3938</v>
      </c>
      <c r="G92" s="6" t="s">
        <v>3365</v>
      </c>
      <c r="H92" s="6" t="s">
        <v>3419</v>
      </c>
      <c r="I92" s="6" t="s">
        <v>3341</v>
      </c>
      <c r="J92" s="6" t="s">
        <v>3421</v>
      </c>
      <c r="K92" s="6"/>
      <c r="L92" s="6">
        <v>1</v>
      </c>
    </row>
    <row r="93" spans="2:12" ht="63.75" hidden="1" outlineLevel="1">
      <c r="B93" s="6" t="s">
        <v>3422</v>
      </c>
      <c r="C93" s="847" t="str">
        <f>DocCalculation[[#This Row],[Category EN]]&amp;IF(LEN(DocCalculation[[#This Row],[Subcategory EN]])&gt;0," 
" &amp;DocCalculation[[#This Row],[Subcategory EN]],)</f>
        <v>CO₂ Manufacturing process 
Transport gCO2-eq</v>
      </c>
      <c r="D93" s="449" t="s">
        <v>3424</v>
      </c>
      <c r="E93" s="847" t="str">
        <f>DocCalculation[[#This Row],[Category DE]]&amp;IF(LEN(DocCalculation[[#This Row],[Subcategory DE]])&gt;0," 
" &amp;DocCalculation[[#This Row],[Subcategory DE]],)</f>
        <v>CO₂ Fertigungsprozess 
Transport gCO2-eq</v>
      </c>
      <c r="F93" s="19" t="s">
        <v>3939</v>
      </c>
      <c r="G93" s="6" t="s">
        <v>3365</v>
      </c>
      <c r="H93" s="6" t="s">
        <v>3423</v>
      </c>
      <c r="I93" s="6" t="s">
        <v>3341</v>
      </c>
      <c r="J93" s="6" t="s">
        <v>3423</v>
      </c>
      <c r="K93" s="6"/>
      <c r="L93" s="6">
        <v>1</v>
      </c>
    </row>
    <row r="94" spans="2:12" ht="63.75" hidden="1" outlineLevel="1">
      <c r="B94" s="6" t="s">
        <v>3425</v>
      </c>
      <c r="C94" s="847" t="str">
        <f>DocCalculation[[#This Row],[Category EN]]&amp;IF(LEN(DocCalculation[[#This Row],[Subcategory EN]])&gt;0," 
" &amp;DocCalculation[[#This Row],[Subcategory EN]],)</f>
        <v>CO₂ Manufacturing process 
Office gCO2-eq</v>
      </c>
      <c r="D94" s="449" t="s">
        <v>3427</v>
      </c>
      <c r="E94" s="847" t="str">
        <f>DocCalculation[[#This Row],[Category DE]]&amp;IF(LEN(DocCalculation[[#This Row],[Subcategory DE]])&gt;0," 
" &amp;DocCalculation[[#This Row],[Subcategory DE]],)</f>
        <v>CO₂ Fertigungsprozess 
Büro gCO2-eq</v>
      </c>
      <c r="F94" s="19" t="s">
        <v>3940</v>
      </c>
      <c r="G94" s="6" t="s">
        <v>3365</v>
      </c>
      <c r="H94" s="6" t="s">
        <v>3426</v>
      </c>
      <c r="I94" s="6" t="s">
        <v>3341</v>
      </c>
      <c r="J94" s="6" t="s">
        <v>3428</v>
      </c>
      <c r="K94" s="6"/>
      <c r="L94" s="6">
        <v>1</v>
      </c>
    </row>
    <row r="95" spans="2:12" ht="51" hidden="1" outlineLevel="1">
      <c r="B95" s="6" t="s">
        <v>1034</v>
      </c>
      <c r="C95" s="847" t="str">
        <f>DocCalculation[[#This Row],[Category EN]]&amp;IF(LEN(DocCalculation[[#This Row],[Subcategory EN]])&gt;0," 
" &amp;DocCalculation[[#This Row],[Subcategory EN]],)</f>
        <v>CO₂ Manufacturing process 
Total Overhead gCO2-eq</v>
      </c>
      <c r="D95" s="449" t="s">
        <v>3942</v>
      </c>
      <c r="E95" s="847" t="str">
        <f>DocCalculation[[#This Row],[Category DE]]&amp;IF(LEN(DocCalculation[[#This Row],[Subcategory DE]])&gt;0," 
" &amp;DocCalculation[[#This Row],[Subcategory DE]],)</f>
        <v>CO₂ Fertigungsprozess 
Summe Overhead gCO2-eq</v>
      </c>
      <c r="F95" s="19" t="s">
        <v>3944</v>
      </c>
      <c r="G95" s="6" t="s">
        <v>3365</v>
      </c>
      <c r="H95" s="6" t="s">
        <v>3941</v>
      </c>
      <c r="I95" s="6" t="s">
        <v>3341</v>
      </c>
      <c r="J95" s="6" t="s">
        <v>3943</v>
      </c>
      <c r="K95" s="6"/>
      <c r="L95" s="6">
        <v>1</v>
      </c>
    </row>
    <row r="96" spans="2:12" ht="51" hidden="1" outlineLevel="1">
      <c r="B96" s="6" t="s">
        <v>3429</v>
      </c>
      <c r="C96" s="847" t="str">
        <f>DocCalculation[[#This Row],[Category EN]]&amp;IF(LEN(DocCalculation[[#This Row],[Subcategory EN]])&gt;0," 
" &amp;DocCalculation[[#This Row],[Subcategory EN]],)</f>
        <v>CO₂ Manufacturing process 
Total Manufacturing gCO2-eq</v>
      </c>
      <c r="D96" s="449" t="s">
        <v>3430</v>
      </c>
      <c r="E96" s="847" t="str">
        <f>DocCalculation[[#This Row],[Category DE]]&amp;IF(LEN(DocCalculation[[#This Row],[Subcategory DE]])&gt;0," 
" &amp;DocCalculation[[#This Row],[Subcategory DE]],)</f>
        <v>CO₂ Fertigungsprozess 
Summe Fertigung gCO2-eq</v>
      </c>
      <c r="F96" s="19" t="s">
        <v>3432</v>
      </c>
      <c r="G96" s="6" t="s">
        <v>3365</v>
      </c>
      <c r="H96" s="6" t="s">
        <v>3968</v>
      </c>
      <c r="I96" s="6" t="s">
        <v>3341</v>
      </c>
      <c r="J96" s="6" t="s">
        <v>3431</v>
      </c>
      <c r="K96" s="6"/>
      <c r="L96" s="6">
        <v>1</v>
      </c>
    </row>
    <row r="97" spans="1:12" ht="54" hidden="1" customHeight="1" outlineLevel="1">
      <c r="B97" s="6" t="s">
        <v>3433</v>
      </c>
      <c r="C97" s="847" t="str">
        <f>DocCalculation[[#This Row],[Category EN]]&amp;IF(LEN(DocCalculation[[#This Row],[Subcategory EN]])&gt;0," 
" &amp;DocCalculation[[#This Row],[Subcategory EN]],)</f>
        <v>CO₂ Material 
Factor gCO2-eq</v>
      </c>
      <c r="D97" s="449" t="s">
        <v>3435</v>
      </c>
      <c r="E97" s="847" t="str">
        <f>DocCalculation[[#This Row],[Category DE]]&amp;IF(LEN(DocCalculation[[#This Row],[Subcategory DE]])&gt;0," 
" &amp;DocCalculation[[#This Row],[Subcategory DE]],)</f>
        <v>CO₂ Material 
Faktor gCO2-eq</v>
      </c>
      <c r="F97" s="19" t="s">
        <v>3437</v>
      </c>
      <c r="G97" s="6" t="s">
        <v>3349</v>
      </c>
      <c r="H97" s="6" t="s">
        <v>3434</v>
      </c>
      <c r="I97" s="6" t="s">
        <v>3349</v>
      </c>
      <c r="J97" s="6" t="s">
        <v>3436</v>
      </c>
      <c r="K97" s="6"/>
      <c r="L97" s="6">
        <v>1</v>
      </c>
    </row>
    <row r="98" spans="1:12" ht="38.25" hidden="1" outlineLevel="1">
      <c r="B98" s="6" t="s">
        <v>54</v>
      </c>
      <c r="C98" s="847" t="str">
        <f>DocCalculation[[#This Row],[Category EN]]&amp;IF(LEN(DocCalculation[[#This Row],[Subcategory EN]])&gt;0," 
" &amp;DocCalculation[[#This Row],[Subcategory EN]],)</f>
        <v>CO₂ Material 
Raw Material gCO2-eq</v>
      </c>
      <c r="D98" s="449" t="s">
        <v>3945</v>
      </c>
      <c r="E98" s="847" t="str">
        <f>DocCalculation[[#This Row],[Category DE]]&amp;IF(LEN(DocCalculation[[#This Row],[Subcategory DE]])&gt;0," 
" &amp;DocCalculation[[#This Row],[Subcategory DE]],)</f>
        <v>CO₂ Material 
Rohmaterial gCO2-eq</v>
      </c>
      <c r="F98" s="19" t="s">
        <v>3946</v>
      </c>
      <c r="G98" s="6" t="s">
        <v>3349</v>
      </c>
      <c r="H98" s="6" t="s">
        <v>3967</v>
      </c>
      <c r="I98" s="6" t="s">
        <v>3349</v>
      </c>
      <c r="J98" s="6" t="s">
        <v>3438</v>
      </c>
      <c r="K98" s="6"/>
      <c r="L98" s="6">
        <v>1</v>
      </c>
    </row>
    <row r="99" spans="1:12" ht="38.25" hidden="1" outlineLevel="1">
      <c r="B99" s="6" t="s">
        <v>3439</v>
      </c>
      <c r="C99" s="847" t="str">
        <f>DocCalculation[[#This Row],[Category EN]]&amp;IF(LEN(DocCalculation[[#This Row],[Subcategory EN]])&gt;0," 
" &amp;DocCalculation[[#This Row],[Subcategory EN]],)</f>
        <v xml:space="preserve">CO₂ Material 
CO2 Manufacturing gCO2-eq </v>
      </c>
      <c r="D99" s="449" t="s">
        <v>3449</v>
      </c>
      <c r="E99" s="847" t="str">
        <f>DocCalculation[[#This Row],[Category DE]]&amp;IF(LEN(DocCalculation[[#This Row],[Subcategory DE]])&gt;0," 
" &amp;DocCalculation[[#This Row],[Subcategory DE]],)</f>
        <v>CO₂ Material 
CO2 Fertigung gCO2-eq</v>
      </c>
      <c r="F99" s="19" t="s">
        <v>3448</v>
      </c>
      <c r="G99" s="6" t="s">
        <v>3349</v>
      </c>
      <c r="H99" s="6" t="s">
        <v>3969</v>
      </c>
      <c r="I99" s="6" t="s">
        <v>3349</v>
      </c>
      <c r="J99" s="6" t="s">
        <v>3440</v>
      </c>
      <c r="K99" s="6"/>
      <c r="L99" s="6">
        <v>1</v>
      </c>
    </row>
    <row r="100" spans="1:12" ht="43.5" hidden="1" customHeight="1" outlineLevel="1">
      <c r="B100" s="6" t="s">
        <v>3441</v>
      </c>
      <c r="C100" s="847" t="str">
        <f>DocCalculation[[#This Row],[Category EN]]&amp;IF(LEN(DocCalculation[[#This Row],[Subcategory EN]])&gt;0," 
" &amp;DocCalculation[[#This Row],[Subcategory EN]],)</f>
        <v>CO₂ Material 
Consum. Material gCO2-eq</v>
      </c>
      <c r="D100" s="449" t="s">
        <v>3947</v>
      </c>
      <c r="E100" s="847" t="str">
        <f>DocCalculation[[#This Row],[Category DE]]&amp;IF(LEN(DocCalculation[[#This Row],[Subcategory DE]])&gt;0," 
" &amp;DocCalculation[[#This Row],[Subcategory DE]],)</f>
        <v>CO₂ Material 
Verb. Material gCO2-eq</v>
      </c>
      <c r="F100" s="19" t="s">
        <v>3948</v>
      </c>
      <c r="G100" s="6" t="s">
        <v>3349</v>
      </c>
      <c r="H100" s="6" t="s">
        <v>3970</v>
      </c>
      <c r="I100" s="6" t="s">
        <v>3349</v>
      </c>
      <c r="J100" s="6" t="s">
        <v>3971</v>
      </c>
      <c r="K100" s="6"/>
      <c r="L100" s="6">
        <v>1</v>
      </c>
    </row>
    <row r="101" spans="1:12" ht="50.25" hidden="1" customHeight="1" outlineLevel="1">
      <c r="B101" s="6" t="s">
        <v>3443</v>
      </c>
      <c r="C101" s="847" t="str">
        <f>DocCalculation[[#This Row],[Category EN]]&amp;IF(LEN(DocCalculation[[#This Row],[Subcategory EN]])&gt;0," 
" &amp;DocCalculation[[#This Row],[Subcategory EN]],)</f>
        <v>CO₂ Material 
Total Material gCO2-eq</v>
      </c>
      <c r="D101" s="449" t="s">
        <v>3950</v>
      </c>
      <c r="E101" s="847" t="str">
        <f>DocCalculation[[#This Row],[Category DE]]&amp;IF(LEN(DocCalculation[[#This Row],[Subcategory DE]])&gt;0," 
" &amp;DocCalculation[[#This Row],[Subcategory DE]],)</f>
        <v>CO₂ Material 
Summe Material gCO2-eq</v>
      </c>
      <c r="F101" s="19" t="s">
        <v>3951</v>
      </c>
      <c r="G101" s="6" t="s">
        <v>3349</v>
      </c>
      <c r="H101" s="6" t="s">
        <v>3949</v>
      </c>
      <c r="I101" s="6" t="s">
        <v>3349</v>
      </c>
      <c r="J101" s="6" t="s">
        <v>3442</v>
      </c>
      <c r="K101" s="6"/>
      <c r="L101" s="6">
        <v>1</v>
      </c>
    </row>
    <row r="102" spans="1:12" ht="43.5" hidden="1" customHeight="1" outlineLevel="1">
      <c r="B102" s="6" t="s">
        <v>3446</v>
      </c>
      <c r="C102" s="847" t="str">
        <f>DocCalculation[[#This Row],[Category EN]]&amp;IF(LEN(DocCalculation[[#This Row],[Subcategory EN]])&gt;0," 
" &amp;DocCalculation[[#This Row],[Subcategory EN]],)</f>
        <v>CO2 Logistic 
Transportation</v>
      </c>
      <c r="D102" s="449" t="s">
        <v>3953</v>
      </c>
      <c r="E102" s="847" t="str">
        <f>DocCalculation[[#This Row],[Category DE]]&amp;IF(LEN(DocCalculation[[#This Row],[Subcategory DE]])&gt;0," 
" &amp;DocCalculation[[#This Row],[Subcategory DE]],)</f>
        <v>CO2 Logistik 
Transportmittel</v>
      </c>
      <c r="F102" s="19" t="s">
        <v>3954</v>
      </c>
      <c r="G102" s="6" t="s">
        <v>3984</v>
      </c>
      <c r="H102" s="6" t="s">
        <v>3952</v>
      </c>
      <c r="I102" s="6" t="s">
        <v>3985</v>
      </c>
      <c r="J102" s="6" t="s">
        <v>3740</v>
      </c>
      <c r="K102" s="6"/>
      <c r="L102" s="6">
        <v>1</v>
      </c>
    </row>
    <row r="103" spans="1:12" ht="55.5" hidden="1" customHeight="1" outlineLevel="1">
      <c r="B103" s="6" t="s">
        <v>3955</v>
      </c>
      <c r="C103" s="847" t="str">
        <f>DocCalculation[[#This Row],[Category EN]]&amp;IF(LEN(DocCalculation[[#This Row],[Subcategory EN]])&gt;0," 
" &amp;DocCalculation[[#This Row],[Subcategory EN]],)</f>
        <v>CO2 Logistic 
Truck gCO2-eq</v>
      </c>
      <c r="D103" s="449" t="s">
        <v>3986</v>
      </c>
      <c r="E103" s="847" t="str">
        <f>DocCalculation[[#This Row],[Category DE]]&amp;IF(LEN(DocCalculation[[#This Row],[Subcategory DE]])&gt;0," 
" &amp;DocCalculation[[#This Row],[Subcategory DE]],)</f>
        <v>CO2 Logistik 
LKW gCO2-eq</v>
      </c>
      <c r="F103" s="19" t="s">
        <v>3956</v>
      </c>
      <c r="G103" s="6" t="s">
        <v>3984</v>
      </c>
      <c r="H103" s="6" t="s">
        <v>3972</v>
      </c>
      <c r="I103" s="6" t="s">
        <v>3985</v>
      </c>
      <c r="J103" s="6" t="s">
        <v>3976</v>
      </c>
      <c r="K103" s="6"/>
      <c r="L103" s="6">
        <v>1</v>
      </c>
    </row>
    <row r="104" spans="1:12" ht="55.5" hidden="1" customHeight="1" outlineLevel="1">
      <c r="B104" s="6" t="s">
        <v>3957</v>
      </c>
      <c r="C104" s="847" t="str">
        <f>DocCalculation[[#This Row],[Category EN]]&amp;IF(LEN(DocCalculation[[#This Row],[Subcategory EN]])&gt;0," 
" &amp;DocCalculation[[#This Row],[Subcategory EN]],)</f>
        <v>CO2 Logistic 
Ship gCO2-eq</v>
      </c>
      <c r="D104" s="449" t="s">
        <v>3987</v>
      </c>
      <c r="E104" s="847" t="str">
        <f>DocCalculation[[#This Row],[Category DE]]&amp;IF(LEN(DocCalculation[[#This Row],[Subcategory DE]])&gt;0," 
" &amp;DocCalculation[[#This Row],[Subcategory DE]],)</f>
        <v>CO2 Logistik 
Schiff gCO2-eq</v>
      </c>
      <c r="F104" s="19" t="s">
        <v>3958</v>
      </c>
      <c r="G104" s="6" t="s">
        <v>3984</v>
      </c>
      <c r="H104" s="6" t="s">
        <v>3973</v>
      </c>
      <c r="I104" s="6" t="s">
        <v>3985</v>
      </c>
      <c r="J104" s="6" t="s">
        <v>3977</v>
      </c>
      <c r="K104" s="6"/>
      <c r="L104" s="6">
        <v>1</v>
      </c>
    </row>
    <row r="105" spans="1:12" ht="55.5" hidden="1" customHeight="1" outlineLevel="1">
      <c r="B105" s="6" t="s">
        <v>3959</v>
      </c>
      <c r="C105" s="847" t="str">
        <f>DocCalculation[[#This Row],[Category EN]]&amp;IF(LEN(DocCalculation[[#This Row],[Subcategory EN]])&gt;0," 
" &amp;DocCalculation[[#This Row],[Subcategory EN]],)</f>
        <v>CO2 Logistic 
Airplane gCO2-eq</v>
      </c>
      <c r="D105" s="449" t="s">
        <v>3988</v>
      </c>
      <c r="E105" s="847" t="str">
        <f>DocCalculation[[#This Row],[Category DE]]&amp;IF(LEN(DocCalculation[[#This Row],[Subcategory DE]])&gt;0," 
" &amp;DocCalculation[[#This Row],[Subcategory DE]],)</f>
        <v>CO2 Logistik 
Flugzeug gCO2-eq</v>
      </c>
      <c r="F105" s="19" t="s">
        <v>3989</v>
      </c>
      <c r="G105" s="6" t="s">
        <v>3984</v>
      </c>
      <c r="H105" s="6" t="s">
        <v>3974</v>
      </c>
      <c r="I105" s="6" t="s">
        <v>3985</v>
      </c>
      <c r="J105" s="6" t="s">
        <v>3978</v>
      </c>
      <c r="K105" s="6"/>
      <c r="L105" s="6">
        <v>1</v>
      </c>
    </row>
    <row r="106" spans="1:12" ht="55.5" hidden="1" customHeight="1" outlineLevel="1">
      <c r="B106" s="6" t="s">
        <v>3960</v>
      </c>
      <c r="C106" s="847" t="str">
        <f>DocCalculation[[#This Row],[Category EN]]&amp;IF(LEN(DocCalculation[[#This Row],[Subcategory EN]])&gt;0," 
" &amp;DocCalculation[[#This Row],[Subcategory EN]],)</f>
        <v>CO2 Logistic 
Train gCO2-eq</v>
      </c>
      <c r="D106" s="449" t="s">
        <v>3990</v>
      </c>
      <c r="E106" s="847" t="str">
        <f>DocCalculation[[#This Row],[Category DE]]&amp;IF(LEN(DocCalculation[[#This Row],[Subcategory DE]])&gt;0," 
" &amp;DocCalculation[[#This Row],[Subcategory DE]],)</f>
        <v>CO2 Logistik 
Zug gCO2-eq</v>
      </c>
      <c r="F106" s="19" t="s">
        <v>3991</v>
      </c>
      <c r="G106" s="6" t="s">
        <v>3984</v>
      </c>
      <c r="H106" s="6" t="s">
        <v>3975</v>
      </c>
      <c r="I106" s="6" t="s">
        <v>3985</v>
      </c>
      <c r="J106" s="6" t="s">
        <v>3979</v>
      </c>
      <c r="K106" s="6"/>
      <c r="L106" s="6">
        <v>1</v>
      </c>
    </row>
    <row r="107" spans="1:12" ht="55.5" hidden="1" customHeight="1" outlineLevel="1">
      <c r="B107" s="6" t="s">
        <v>3961</v>
      </c>
      <c r="C107" s="847" t="str">
        <f>DocCalculation[[#This Row],[Category EN]]&amp;IF(LEN(DocCalculation[[#This Row],[Subcategory EN]])&gt;0," 
" &amp;DocCalculation[[#This Row],[Subcategory EN]],)</f>
        <v>CO2 Logistic 
CO2 Logistics gCO2-eq</v>
      </c>
      <c r="D107" s="449" t="s">
        <v>3962</v>
      </c>
      <c r="E107" s="847" t="str">
        <f>DocCalculation[[#This Row],[Category DE]]&amp;IF(LEN(DocCalculation[[#This Row],[Subcategory DE]])&gt;0," 
" &amp;DocCalculation[[#This Row],[Subcategory DE]],)</f>
        <v>CO2 Logistik 
CO2 Logistik gCO2-eq</v>
      </c>
      <c r="F107" s="19" t="s">
        <v>3963</v>
      </c>
      <c r="G107" s="6" t="s">
        <v>3984</v>
      </c>
      <c r="H107" s="6" t="s">
        <v>3444</v>
      </c>
      <c r="I107" s="6" t="s">
        <v>3985</v>
      </c>
      <c r="J107" s="6" t="s">
        <v>3445</v>
      </c>
      <c r="K107" s="6"/>
      <c r="L107" s="6">
        <v>1</v>
      </c>
    </row>
    <row r="108" spans="1:12" ht="55.5" hidden="1" customHeight="1" outlineLevel="1">
      <c r="B108" s="6" t="s">
        <v>3964</v>
      </c>
      <c r="C108" s="847" t="str">
        <f>DocCalculation[[#This Row],[Category EN]]&amp;IF(LEN(DocCalculation[[#This Row],[Subcategory EN]])&gt;0," 
" &amp;DocCalculation[[#This Row],[Subcategory EN]],)</f>
        <v>CO2 Total gCO2-eq</v>
      </c>
      <c r="D108" s="449" t="s">
        <v>3965</v>
      </c>
      <c r="E108" s="847" t="str">
        <f>DocCalculation[[#This Row],[Category DE]]&amp;IF(LEN(DocCalculation[[#This Row],[Subcategory DE]])&gt;0," 
" &amp;DocCalculation[[#This Row],[Subcategory DE]],)</f>
        <v>CO2 Total gCO2-eq</v>
      </c>
      <c r="F108" s="19" t="s">
        <v>3966</v>
      </c>
      <c r="G108" s="6" t="s">
        <v>3447</v>
      </c>
      <c r="I108" s="6" t="s">
        <v>3447</v>
      </c>
      <c r="K108" s="6"/>
      <c r="L108" s="6">
        <v>1</v>
      </c>
    </row>
    <row r="110" spans="1:12" collapsed="1">
      <c r="A110" s="458"/>
      <c r="B110" s="459" t="s">
        <v>816</v>
      </c>
    </row>
    <row r="111" spans="1:12" hidden="1" outlineLevel="1">
      <c r="A111" s="261"/>
      <c r="B111" s="260"/>
    </row>
    <row r="112" spans="1:12" ht="30" hidden="1" customHeight="1" outlineLevel="1">
      <c r="B112" s="6" t="s">
        <v>359</v>
      </c>
      <c r="C112" s="847" t="s">
        <v>360</v>
      </c>
      <c r="D112" s="449" t="s">
        <v>361</v>
      </c>
      <c r="E112" s="847" t="s">
        <v>362</v>
      </c>
      <c r="F112" s="19" t="s">
        <v>363</v>
      </c>
      <c r="G112" s="6" t="s">
        <v>367</v>
      </c>
      <c r="H112" s="6" t="s">
        <v>366</v>
      </c>
      <c r="I112" s="6" t="s">
        <v>720</v>
      </c>
    </row>
    <row r="113" spans="2:9" ht="51" hidden="1" outlineLevel="1">
      <c r="B113" s="6" t="s">
        <v>84</v>
      </c>
      <c r="D113" s="449" t="s">
        <v>1734</v>
      </c>
      <c r="F113" s="19" t="s">
        <v>1990</v>
      </c>
      <c r="I113" s="6">
        <v>1</v>
      </c>
    </row>
    <row r="114" spans="2:9" ht="76.5" hidden="1" outlineLevel="1">
      <c r="B114" s="6" t="s">
        <v>256</v>
      </c>
      <c r="C114" s="847" t="str">
        <f>DocBOM[[#This Row],[Category EN]]</f>
        <v>Numbering</v>
      </c>
      <c r="D114" s="449" t="s">
        <v>1733</v>
      </c>
      <c r="E114" s="847" t="str">
        <f>DocBOM[[#This Row],[Category DE]]</f>
        <v>Nummerierung</v>
      </c>
      <c r="F114" s="19" t="s">
        <v>1732</v>
      </c>
      <c r="G114" s="6" t="s">
        <v>515</v>
      </c>
      <c r="H114" s="6" t="s">
        <v>401</v>
      </c>
      <c r="I114" s="6">
        <v>1</v>
      </c>
    </row>
    <row r="115" spans="2:9" ht="127.5" hidden="1" outlineLevel="1">
      <c r="B115" s="6" t="s">
        <v>261</v>
      </c>
      <c r="C115" s="847" t="str">
        <f>DocBOM[[#This Row],[Category EN]]</f>
        <v>Structural level</v>
      </c>
      <c r="D115" s="449" t="s">
        <v>1806</v>
      </c>
      <c r="E115" s="847" t="str">
        <f>DocBOM[[#This Row],[Category DE]]</f>
        <v>Strukturstufe</v>
      </c>
      <c r="F115" s="19" t="s">
        <v>1807</v>
      </c>
      <c r="G115" s="6" t="s">
        <v>1731</v>
      </c>
      <c r="H115" s="6" t="s">
        <v>400</v>
      </c>
      <c r="I115" s="6">
        <v>1</v>
      </c>
    </row>
    <row r="116" spans="2:9" ht="38.25" hidden="1" outlineLevel="1">
      <c r="B116" s="6" t="s">
        <v>262</v>
      </c>
      <c r="C116" s="847" t="str">
        <f>DocBOM[[#This Row],[Category EN]]</f>
        <v>Description</v>
      </c>
      <c r="D116" s="449" t="s">
        <v>1804</v>
      </c>
      <c r="E116" s="847" t="str">
        <f>DocBOM[[#This Row],[Category DE]]</f>
        <v>Bezeichnung</v>
      </c>
      <c r="F116" s="19" t="s">
        <v>1805</v>
      </c>
      <c r="G116" s="6" t="s">
        <v>69</v>
      </c>
      <c r="H116" s="6" t="s">
        <v>2</v>
      </c>
      <c r="I116" s="6">
        <v>1</v>
      </c>
    </row>
    <row r="117" spans="2:9" ht="178.5" hidden="1" outlineLevel="1">
      <c r="B117" s="6" t="s">
        <v>263</v>
      </c>
      <c r="C117" s="847" t="str">
        <f>DocBOM[[#This Row],[Category EN]]</f>
        <v>Material</v>
      </c>
      <c r="D117" s="19" t="s">
        <v>1992</v>
      </c>
      <c r="E117" s="847" t="str">
        <f>DocBOM[[#This Row],[Category DE]]</f>
        <v>Material</v>
      </c>
      <c r="F117" s="19" t="s">
        <v>1991</v>
      </c>
      <c r="G117" s="6" t="s">
        <v>34</v>
      </c>
      <c r="H117" s="6" t="s">
        <v>34</v>
      </c>
      <c r="I117" s="6">
        <v>1</v>
      </c>
    </row>
    <row r="118" spans="2:9" ht="127.5" hidden="1" outlineLevel="1">
      <c r="B118" s="6" t="s">
        <v>264</v>
      </c>
      <c r="C118" s="847" t="str">
        <f>DocBOM[[#This Row],[Category EN]]</f>
        <v>Quantity</v>
      </c>
      <c r="D118" s="449" t="s">
        <v>1730</v>
      </c>
      <c r="E118" s="847" t="str">
        <f>DocBOM[[#This Row],[Category DE]]</f>
        <v>Anzahl</v>
      </c>
      <c r="F118" s="19" t="s">
        <v>2377</v>
      </c>
      <c r="G118" s="6" t="s">
        <v>476</v>
      </c>
      <c r="H118" s="6" t="s">
        <v>35</v>
      </c>
      <c r="I118" s="6">
        <v>1</v>
      </c>
    </row>
    <row r="119" spans="2:9" ht="51" hidden="1" outlineLevel="1">
      <c r="B119" s="6" t="s">
        <v>265</v>
      </c>
      <c r="C119" s="847" t="str">
        <f>DocBOM[[#This Row],[Category EN]]</f>
        <v>weight</v>
      </c>
      <c r="D119" s="449" t="s">
        <v>1728</v>
      </c>
      <c r="E119" s="847" t="str">
        <f>DocBOM[[#This Row],[Category DE]]</f>
        <v>Gewicht</v>
      </c>
      <c r="F119" s="19" t="s">
        <v>1729</v>
      </c>
      <c r="G119" s="6" t="s">
        <v>516</v>
      </c>
      <c r="H119" s="6" t="s">
        <v>140</v>
      </c>
      <c r="I119" s="6">
        <v>1</v>
      </c>
    </row>
    <row r="120" spans="2:9" ht="114.75" hidden="1" outlineLevel="1">
      <c r="B120" s="6" t="s">
        <v>266</v>
      </c>
      <c r="C120" s="847" t="str">
        <f>DocBOM[[#This Row],[Category EN]]</f>
        <v>length</v>
      </c>
      <c r="D120" s="449" t="s">
        <v>1542</v>
      </c>
      <c r="E120" s="847" t="str">
        <f>DocBOM[[#This Row],[Category DE]]</f>
        <v>Länge</v>
      </c>
      <c r="F120" s="19" t="s">
        <v>1537</v>
      </c>
      <c r="G120" s="6" t="s">
        <v>517</v>
      </c>
      <c r="H120" s="6" t="s">
        <v>402</v>
      </c>
      <c r="I120" s="6">
        <v>1</v>
      </c>
    </row>
    <row r="121" spans="2:9" ht="102" hidden="1" outlineLevel="1">
      <c r="B121" s="6" t="s">
        <v>267</v>
      </c>
      <c r="C121" s="847" t="str">
        <f>DocBOM[[#This Row],[Category EN]]</f>
        <v>width</v>
      </c>
      <c r="D121" s="449" t="s">
        <v>1541</v>
      </c>
      <c r="E121" s="847" t="str">
        <f>DocBOM[[#This Row],[Category DE]]</f>
        <v>Breite</v>
      </c>
      <c r="F121" s="19" t="s">
        <v>1538</v>
      </c>
      <c r="G121" s="6" t="s">
        <v>518</v>
      </c>
      <c r="H121" s="6" t="s">
        <v>403</v>
      </c>
      <c r="I121" s="6">
        <v>1</v>
      </c>
    </row>
    <row r="122" spans="2:9" ht="102" hidden="1" outlineLevel="1">
      <c r="B122" s="6" t="s">
        <v>268</v>
      </c>
      <c r="C122" s="847" t="str">
        <f>DocBOM[[#This Row],[Category EN]]</f>
        <v>height</v>
      </c>
      <c r="D122" s="449" t="s">
        <v>1540</v>
      </c>
      <c r="E122" s="847" t="str">
        <f>DocBOM[[#This Row],[Category DE]]</f>
        <v>Höhe</v>
      </c>
      <c r="F122" s="19" t="s">
        <v>1539</v>
      </c>
      <c r="G122" s="6" t="s">
        <v>519</v>
      </c>
      <c r="H122" s="6" t="s">
        <v>404</v>
      </c>
      <c r="I122" s="6">
        <v>1</v>
      </c>
    </row>
    <row r="123" spans="2:9" hidden="1" outlineLevel="1">
      <c r="B123" s="6" t="s">
        <v>83</v>
      </c>
      <c r="C123" s="847" t="str">
        <f>DocBOM[[#This Row],[Category EN]]</f>
        <v>material thickness</v>
      </c>
      <c r="D123" s="449" t="s">
        <v>511</v>
      </c>
      <c r="E123" s="847" t="str">
        <f>DocBOM[[#This Row],[Category DE]]</f>
        <v>Materialstärke</v>
      </c>
      <c r="F123" s="19" t="s">
        <v>406</v>
      </c>
      <c r="G123" s="6" t="s">
        <v>520</v>
      </c>
      <c r="H123" s="6" t="s">
        <v>405</v>
      </c>
      <c r="I123" s="6">
        <v>1</v>
      </c>
    </row>
    <row r="124" spans="2:9" ht="229.5" hidden="1" outlineLevel="1">
      <c r="B124" s="6" t="s">
        <v>269</v>
      </c>
      <c r="C124" s="847" t="str">
        <f>DocBOM[[#This Row],[Category EN]]</f>
        <v>production process</v>
      </c>
      <c r="D124" s="449" t="s">
        <v>1989</v>
      </c>
      <c r="E124" s="847" t="str">
        <f>DocBOM[[#This Row],[Category DE]]</f>
        <v>Fertigungsprozess</v>
      </c>
      <c r="F124" s="19" t="s">
        <v>1988</v>
      </c>
      <c r="G124" s="6" t="s">
        <v>521</v>
      </c>
      <c r="H124" s="6" t="s">
        <v>407</v>
      </c>
      <c r="I124" s="6">
        <v>0</v>
      </c>
    </row>
    <row r="125" spans="2:9" ht="191.25" hidden="1" outlineLevel="1">
      <c r="B125" s="6" t="s">
        <v>49</v>
      </c>
      <c r="C125" s="847" t="str">
        <f>DocBOM[[#This Row],[Category EN]]</f>
        <v>Supplier structure</v>
      </c>
      <c r="D125" s="449" t="s">
        <v>1808</v>
      </c>
      <c r="E125" s="847" t="str">
        <f>DocBOM[[#This Row],[Category DE]]</f>
        <v>Lieferantenstruktur</v>
      </c>
      <c r="F125" s="19" t="s">
        <v>1809</v>
      </c>
      <c r="G125" s="6" t="s">
        <v>886</v>
      </c>
      <c r="H125" s="6" t="s">
        <v>408</v>
      </c>
      <c r="I125" s="6">
        <v>1</v>
      </c>
    </row>
    <row r="126" spans="2:9" hidden="1" outlineLevel="1">
      <c r="B126" s="6" t="s">
        <v>270</v>
      </c>
      <c r="C126" s="847" t="str">
        <f>DocBOM[[#This Row],[Category EN]]</f>
        <v>Total quantity</v>
      </c>
      <c r="D126" s="449" t="s">
        <v>512</v>
      </c>
      <c r="E126" s="847" t="str">
        <f>DocBOM[[#This Row],[Category DE]]</f>
        <v>Gesamtanzahl</v>
      </c>
      <c r="F126" s="19" t="s">
        <v>413</v>
      </c>
      <c r="G126" s="6" t="s">
        <v>522</v>
      </c>
      <c r="H126" s="6" t="s">
        <v>409</v>
      </c>
      <c r="I126" s="6">
        <v>1</v>
      </c>
    </row>
    <row r="127" spans="2:9" hidden="1" outlineLevel="1">
      <c r="B127" s="6" t="s">
        <v>271</v>
      </c>
      <c r="C127" s="847" t="str">
        <f>DocBOM[[#This Row],[Category EN]]</f>
        <v>Total weight</v>
      </c>
      <c r="D127" s="449" t="s">
        <v>513</v>
      </c>
      <c r="E127" s="847" t="str">
        <f>DocBOM[[#This Row],[Category DE]]</f>
        <v>Gesamtgewicht</v>
      </c>
      <c r="F127" s="19" t="s">
        <v>414</v>
      </c>
      <c r="G127" s="6" t="s">
        <v>523</v>
      </c>
      <c r="H127" s="6" t="s">
        <v>410</v>
      </c>
      <c r="I127" s="6">
        <v>1</v>
      </c>
    </row>
    <row r="128" spans="2:9" ht="51" hidden="1" outlineLevel="1">
      <c r="B128" s="6" t="s">
        <v>240</v>
      </c>
      <c r="C128" s="847" t="str">
        <f>DocBOM[[#This Row],[Category EN]]</f>
        <v>Number of subassemblies</v>
      </c>
      <c r="D128" s="449" t="s">
        <v>1727</v>
      </c>
      <c r="E128" s="847" t="str">
        <f>DocBOM[[#This Row],[Category DE]]</f>
        <v>Anzahl Unterbaugruppen</v>
      </c>
      <c r="F128" s="19" t="s">
        <v>1726</v>
      </c>
      <c r="G128" s="6" t="s">
        <v>524</v>
      </c>
      <c r="H128" s="6" t="s">
        <v>411</v>
      </c>
      <c r="I128" s="6">
        <v>1</v>
      </c>
    </row>
    <row r="129" spans="1:12" hidden="1" outlineLevel="1">
      <c r="B129" s="6" t="s">
        <v>272</v>
      </c>
      <c r="C129" s="847" t="str">
        <f>DocBOM[[#This Row],[Category EN]]</f>
        <v>annotations</v>
      </c>
      <c r="D129" s="449" t="s">
        <v>514</v>
      </c>
      <c r="E129" s="847" t="str">
        <f>DocBOM[[#This Row],[Category DE]]</f>
        <v>Anmerkungen</v>
      </c>
      <c r="F129" s="19" t="s">
        <v>415</v>
      </c>
      <c r="G129" s="6" t="s">
        <v>525</v>
      </c>
      <c r="H129" s="6" t="s">
        <v>170</v>
      </c>
      <c r="I129" s="6">
        <v>1</v>
      </c>
    </row>
    <row r="130" spans="1:12" ht="216.75" hidden="1" outlineLevel="1">
      <c r="B130" s="6" t="s">
        <v>40</v>
      </c>
      <c r="C130" s="847" t="str">
        <f>DocBOM[[#This Row],[Category EN]]</f>
        <v>Images</v>
      </c>
      <c r="D130" s="449" t="s">
        <v>1995</v>
      </c>
      <c r="E130" s="847" t="str">
        <f>DocBOM[[#This Row],[Category DE]]</f>
        <v>Bilder</v>
      </c>
      <c r="F130" s="19" t="s">
        <v>1994</v>
      </c>
      <c r="G130" s="6" t="s">
        <v>526</v>
      </c>
      <c r="H130" s="6" t="s">
        <v>412</v>
      </c>
      <c r="I130" s="6">
        <v>1</v>
      </c>
    </row>
    <row r="132" spans="1:12" collapsed="1">
      <c r="A132" s="458"/>
      <c r="B132" s="459" t="s">
        <v>1376</v>
      </c>
    </row>
    <row r="133" spans="1:12" hidden="1" outlineLevel="1">
      <c r="A133" s="261"/>
      <c r="B133" s="260"/>
    </row>
    <row r="134" spans="1:12" ht="30" hidden="1" customHeight="1" outlineLevel="1">
      <c r="B134" s="6" t="s">
        <v>557</v>
      </c>
      <c r="C134" s="847" t="s">
        <v>360</v>
      </c>
      <c r="D134" s="449" t="s">
        <v>361</v>
      </c>
      <c r="E134" s="847" t="s">
        <v>362</v>
      </c>
      <c r="F134" s="19" t="s">
        <v>363</v>
      </c>
      <c r="G134" s="6" t="s">
        <v>367</v>
      </c>
      <c r="H134" s="6" t="s">
        <v>368</v>
      </c>
      <c r="I134" s="6" t="s">
        <v>366</v>
      </c>
      <c r="J134" s="6" t="s">
        <v>369</v>
      </c>
      <c r="K134" s="6" t="s">
        <v>59</v>
      </c>
      <c r="L134" s="6" t="s">
        <v>720</v>
      </c>
    </row>
    <row r="135" spans="1:12" ht="76.5" hidden="1" outlineLevel="1">
      <c r="B135" s="6" t="s">
        <v>561</v>
      </c>
      <c r="C135" s="847" t="str">
        <f>DocPremises[[#This Row],[Category EN]]&amp;IF(LEN(DocPremises[[#This Row],[Subcategory EN]])&gt;0," 
" &amp;DocPremises[[#This Row],[Subcategory EN]],)</f>
        <v>Input currency</v>
      </c>
      <c r="D135" s="449" t="s">
        <v>1432</v>
      </c>
      <c r="E135" s="847" t="str">
        <f>DocPremises[[#This Row],[Category DE]]&amp;IF(LEN(DocPremises[[#This Row],[Subcategory DE]])&gt;0," 
" &amp;DocPremises[[#This Row],[Subcategory DE]],)</f>
        <v>Eingabewährung</v>
      </c>
      <c r="F135" s="19" t="s">
        <v>1485</v>
      </c>
      <c r="G135" s="6" t="s">
        <v>593</v>
      </c>
      <c r="I135" s="6" t="s">
        <v>442</v>
      </c>
      <c r="K135" s="6" t="s">
        <v>61</v>
      </c>
      <c r="L135" s="6">
        <v>1</v>
      </c>
    </row>
    <row r="136" spans="1:12" ht="76.5" hidden="1" outlineLevel="1">
      <c r="B136" s="6" t="s">
        <v>594</v>
      </c>
      <c r="C136" s="847" t="str">
        <f>DocPremises[[#This Row],[Category EN]]&amp;IF(LEN(DocPremises[[#This Row],[Subcategory EN]])&gt;0," 
" &amp;DocPremises[[#This Row],[Subcategory EN]],)</f>
        <v>Currency</v>
      </c>
      <c r="D136" s="449" t="s">
        <v>1520</v>
      </c>
      <c r="E136" s="847" t="str">
        <f>DocPremises[[#This Row],[Category DE]]&amp;IF(LEN(DocPremises[[#This Row],[Subcategory DE]])&gt;0," 
" &amp;DocPremises[[#This Row],[Subcategory DE]],)</f>
        <v>Währung</v>
      </c>
      <c r="F136" s="19" t="s">
        <v>1519</v>
      </c>
      <c r="G136" s="6" t="s">
        <v>553</v>
      </c>
      <c r="I136" s="6" t="s">
        <v>24</v>
      </c>
      <c r="K136" s="6" t="s">
        <v>61</v>
      </c>
      <c r="L136" s="6">
        <v>1</v>
      </c>
    </row>
    <row r="137" spans="1:12" ht="51" hidden="1" outlineLevel="1">
      <c r="B137" s="6" t="s">
        <v>595</v>
      </c>
      <c r="C137" s="847" t="str">
        <f>DocPremises[[#This Row],[Category EN]]&amp;IF(LEN(DocPremises[[#This Row],[Subcategory EN]])&gt;0," 
" &amp;DocPremises[[#This Row],[Subcategory EN]],)</f>
        <v>Exchange rate</v>
      </c>
      <c r="D137" s="449" t="s">
        <v>1430</v>
      </c>
      <c r="E137" s="847" t="str">
        <f>DocPremises[[#This Row],[Category DE]]&amp;IF(LEN(DocPremises[[#This Row],[Subcategory DE]])&gt;0," 
" &amp;DocPremises[[#This Row],[Subcategory DE]],)</f>
        <v>Wechselkurs</v>
      </c>
      <c r="F137" s="19" t="s">
        <v>1429</v>
      </c>
      <c r="G137" s="6" t="s">
        <v>596</v>
      </c>
      <c r="I137" s="6" t="s">
        <v>25</v>
      </c>
      <c r="K137" s="6">
        <v>1</v>
      </c>
      <c r="L137" s="6">
        <v>1</v>
      </c>
    </row>
    <row r="138" spans="1:12" ht="63.75" hidden="1" outlineLevel="1">
      <c r="B138" s="6">
        <v>10</v>
      </c>
      <c r="C138" s="847" t="str">
        <f>DocPremises[[#This Row],[Category EN]]&amp;IF(LEN(DocPremises[[#This Row],[Subcategory EN]])&gt;0," 
" &amp;DocPremises[[#This Row],[Subcategory EN]],)</f>
        <v>Supplier 
ID</v>
      </c>
      <c r="D138" s="449" t="s">
        <v>1431</v>
      </c>
      <c r="E138" s="847" t="str">
        <f>DocPremises[[#This Row],[Category DE]]&amp;IF(LEN(DocPremises[[#This Row],[Subcategory DE]])&gt;0," 
" &amp;DocPremises[[#This Row],[Subcategory DE]],)</f>
        <v>Lieferant 
ID</v>
      </c>
      <c r="F138" s="19" t="s">
        <v>885</v>
      </c>
      <c r="G138" s="6" t="s">
        <v>597</v>
      </c>
      <c r="H138" s="6" t="s">
        <v>148</v>
      </c>
      <c r="I138" s="6" t="s">
        <v>558</v>
      </c>
      <c r="J138" s="6" t="s">
        <v>148</v>
      </c>
      <c r="K138" s="6"/>
      <c r="L138" s="6">
        <v>1</v>
      </c>
    </row>
    <row r="139" spans="1:12" ht="51" hidden="1" outlineLevel="1">
      <c r="B139" s="6">
        <v>11</v>
      </c>
      <c r="C139" s="847" t="str">
        <f>DocPremises[[#This Row],[Category EN]]&amp;IF(LEN(DocPremises[[#This Row],[Subcategory EN]])&gt;0," 
" &amp;DocPremises[[#This Row],[Subcategory EN]],)</f>
        <v>Supplier 
Designation</v>
      </c>
      <c r="D139" s="449" t="s">
        <v>1495</v>
      </c>
      <c r="E139" s="847" t="str">
        <f>DocPremises[[#This Row],[Category DE]]&amp;IF(LEN(DocPremises[[#This Row],[Subcategory DE]])&gt;0," 
" &amp;DocPremises[[#This Row],[Subcategory DE]],)</f>
        <v>Lieferant 
Benennung</v>
      </c>
      <c r="F139" s="19" t="s">
        <v>1494</v>
      </c>
      <c r="G139" s="6" t="s">
        <v>597</v>
      </c>
      <c r="H139" s="6" t="s">
        <v>492</v>
      </c>
      <c r="I139" s="6" t="s">
        <v>558</v>
      </c>
      <c r="J139" s="6" t="s">
        <v>33</v>
      </c>
      <c r="K139" s="6"/>
      <c r="L139" s="6">
        <v>1</v>
      </c>
    </row>
    <row r="140" spans="1:12" ht="153" hidden="1" outlineLevel="1">
      <c r="B140" s="6">
        <v>12</v>
      </c>
      <c r="C140" s="847" t="str">
        <f>DocPremises[[#This Row],[Category EN]]&amp;IF(LEN(DocPremises[[#This Row],[Subcategory EN]])&gt;0," 
" &amp;DocPremises[[#This Row],[Subcategory EN]],)</f>
        <v>Supplier 
Category</v>
      </c>
      <c r="D140" s="449" t="s">
        <v>1434</v>
      </c>
      <c r="E140" s="847" t="str">
        <f>DocPremises[[#This Row],[Category DE]]&amp;IF(LEN(DocPremises[[#This Row],[Subcategory DE]])&gt;0," 
" &amp;DocPremises[[#This Row],[Subcategory DE]],)</f>
        <v>Lieferant 
Kategorie</v>
      </c>
      <c r="F140" s="19" t="s">
        <v>1433</v>
      </c>
      <c r="G140" s="6" t="s">
        <v>597</v>
      </c>
      <c r="H140" s="6" t="s">
        <v>536</v>
      </c>
      <c r="I140" s="6" t="s">
        <v>558</v>
      </c>
      <c r="J140" s="6" t="s">
        <v>22</v>
      </c>
      <c r="K140" s="6"/>
      <c r="L140" s="6">
        <v>1</v>
      </c>
    </row>
    <row r="141" spans="1:12" ht="38.25" hidden="1" outlineLevel="1">
      <c r="B141" s="6">
        <v>13</v>
      </c>
      <c r="C141" s="847" t="str">
        <f>DocPremises[[#This Row],[Category EN]]&amp;IF(LEN(DocPremises[[#This Row],[Subcategory EN]])&gt;0," 
" &amp;DocPremises[[#This Row],[Subcategory EN]],)</f>
        <v>Supplier 
Calculated annual quantity</v>
      </c>
      <c r="D141" s="449" t="s">
        <v>1493</v>
      </c>
      <c r="E141" s="847" t="str">
        <f>DocPremises[[#This Row],[Category DE]]&amp;IF(LEN(DocPremises[[#This Row],[Subcategory DE]])&gt;0," 
" &amp;DocPremises[[#This Row],[Subcategory DE]],)</f>
        <v>Lieferant 
Kalkulierte Jahresstückzahl</v>
      </c>
      <c r="F141" s="19" t="s">
        <v>598</v>
      </c>
      <c r="G141" s="6" t="s">
        <v>597</v>
      </c>
      <c r="H141" s="6" t="s">
        <v>537</v>
      </c>
      <c r="I141" s="6" t="s">
        <v>558</v>
      </c>
      <c r="J141" s="6" t="s">
        <v>19</v>
      </c>
      <c r="K141" s="6"/>
      <c r="L141" s="6">
        <v>1</v>
      </c>
    </row>
    <row r="142" spans="1:12" ht="63.75" hidden="1" outlineLevel="1">
      <c r="B142" s="6">
        <v>14</v>
      </c>
      <c r="C142" s="847" t="str">
        <f>DocPremises[[#This Row],[Category EN]]&amp;IF(LEN(DocPremises[[#This Row],[Subcategory EN]])&gt;0," 
" &amp;DocPremises[[#This Row],[Subcategory EN]],)</f>
        <v>Supplier 
Term</v>
      </c>
      <c r="D142" s="449" t="s">
        <v>1492</v>
      </c>
      <c r="E142" s="847" t="str">
        <f>DocPremises[[#This Row],[Category DE]]&amp;IF(LEN(DocPremises[[#This Row],[Subcategory DE]])&gt;0," 
" &amp;DocPremises[[#This Row],[Subcategory DE]],)</f>
        <v>Lieferant 
Laufzeit</v>
      </c>
      <c r="F142" s="19" t="s">
        <v>1491</v>
      </c>
      <c r="G142" s="6" t="s">
        <v>597</v>
      </c>
      <c r="H142" s="6" t="s">
        <v>538</v>
      </c>
      <c r="I142" s="6" t="s">
        <v>558</v>
      </c>
      <c r="J142" s="6" t="s">
        <v>48</v>
      </c>
      <c r="K142" s="6" t="s">
        <v>535</v>
      </c>
      <c r="L142" s="6">
        <v>1</v>
      </c>
    </row>
    <row r="143" spans="1:12" ht="63.75" hidden="1" outlineLevel="1">
      <c r="B143" s="6">
        <v>15</v>
      </c>
      <c r="C143" s="847" t="str">
        <f>DocPremises[[#This Row],[Category EN]]&amp;IF(LEN(DocPremises[[#This Row],[Subcategory EN]])&gt;0," 
" &amp;DocPremises[[#This Row],[Subcategory EN]],)</f>
        <v>Supplier 
Capacity utilization of machines</v>
      </c>
      <c r="D143" s="449" t="s">
        <v>1435</v>
      </c>
      <c r="E143" s="847" t="str">
        <f>DocPremises[[#This Row],[Category DE]]&amp;IF(LEN(DocPremises[[#This Row],[Subcategory DE]])&gt;0," 
" &amp;DocPremises[[#This Row],[Subcategory DE]],)</f>
        <v>Lieferant 
Auslastung Maschinen</v>
      </c>
      <c r="F143" s="19" t="s">
        <v>1436</v>
      </c>
      <c r="G143" s="6" t="s">
        <v>597</v>
      </c>
      <c r="H143" s="6" t="s">
        <v>599</v>
      </c>
      <c r="I143" s="6" t="s">
        <v>558</v>
      </c>
      <c r="J143" s="6" t="s">
        <v>47</v>
      </c>
      <c r="K143" s="6" t="s">
        <v>3</v>
      </c>
      <c r="L143" s="6">
        <v>1</v>
      </c>
    </row>
    <row r="144" spans="1:12" ht="89.25" hidden="1" outlineLevel="1">
      <c r="B144" s="6">
        <v>16</v>
      </c>
      <c r="C144" s="847" t="str">
        <f>DocPremises[[#This Row],[Category EN]]&amp;IF(LEN(DocPremises[[#This Row],[Subcategory EN]])&gt;0," 
" &amp;DocPremises[[#This Row],[Subcategory EN]],)</f>
        <v>Supplier 
Availability worker</v>
      </c>
      <c r="D144" s="449" t="s">
        <v>1698</v>
      </c>
      <c r="E144" s="847" t="str">
        <f>DocPremises[[#This Row],[Category DE]]&amp;IF(LEN(DocPremises[[#This Row],[Subcategory DE]])&gt;0," 
" &amp;DocPremises[[#This Row],[Subcategory DE]],)</f>
        <v>Lieferant 
Verfügbarkeit Werker</v>
      </c>
      <c r="F144" s="19" t="s">
        <v>1437</v>
      </c>
      <c r="G144" s="6" t="s">
        <v>597</v>
      </c>
      <c r="H144" s="6" t="s">
        <v>600</v>
      </c>
      <c r="I144" s="6" t="s">
        <v>558</v>
      </c>
      <c r="J144" s="6" t="s">
        <v>46</v>
      </c>
      <c r="K144" s="6" t="s">
        <v>3</v>
      </c>
      <c r="L144" s="6">
        <v>1</v>
      </c>
    </row>
    <row r="145" spans="2:12" ht="25.5" hidden="1" outlineLevel="1">
      <c r="B145" s="6">
        <v>18</v>
      </c>
      <c r="C145" s="847" t="str">
        <f>DocPremises[[#This Row],[Category EN]]&amp;IF(LEN(DocPremises[[#This Row],[Subcategory EN]])&gt;0," 
" &amp;DocPremises[[#This Row],[Subcategory EN]],)</f>
        <v>Supplier 
Production site</v>
      </c>
      <c r="D145" s="449" t="s">
        <v>1595</v>
      </c>
      <c r="E145" s="847" t="str">
        <f>DocPremises[[#This Row],[Category DE]]&amp;IF(LEN(DocPremises[[#This Row],[Subcategory DE]])&gt;0," 
" &amp;DocPremises[[#This Row],[Subcategory DE]],)</f>
        <v>Lieferant 
Fertigungsort</v>
      </c>
      <c r="F145" s="19" t="s">
        <v>1594</v>
      </c>
      <c r="G145" s="6" t="s">
        <v>597</v>
      </c>
      <c r="H145" s="6" t="s">
        <v>541</v>
      </c>
      <c r="I145" s="6" t="s">
        <v>558</v>
      </c>
      <c r="J145" s="6" t="s">
        <v>15</v>
      </c>
      <c r="K145" s="6"/>
      <c r="L145" s="6">
        <v>1</v>
      </c>
    </row>
    <row r="146" spans="2:12" ht="76.5" hidden="1" outlineLevel="1">
      <c r="B146" s="6">
        <v>19</v>
      </c>
      <c r="C146" s="847" t="str">
        <f>DocPremises[[#This Row],[Category EN]]&amp;IF(LEN(DocPremises[[#This Row],[Subcategory EN]])&gt;0," 
" &amp;DocPremises[[#This Row],[Subcategory EN]],)</f>
        <v>Supplier 
Working days per year</v>
      </c>
      <c r="D146" s="449" t="s">
        <v>1452</v>
      </c>
      <c r="E146" s="847" t="str">
        <f>DocPremises[[#This Row],[Category DE]]&amp;IF(LEN(DocPremises[[#This Row],[Subcategory DE]])&gt;0," 
" &amp;DocPremises[[#This Row],[Subcategory DE]],)</f>
        <v>Lieferant 
Arbeitstage pro Jahr</v>
      </c>
      <c r="F146" s="19" t="s">
        <v>1438</v>
      </c>
      <c r="G146" s="6" t="s">
        <v>597</v>
      </c>
      <c r="H146" s="6" t="s">
        <v>601</v>
      </c>
      <c r="I146" s="6" t="s">
        <v>558</v>
      </c>
      <c r="J146" s="6" t="s">
        <v>16</v>
      </c>
      <c r="K146" s="6"/>
      <c r="L146" s="6">
        <v>1</v>
      </c>
    </row>
    <row r="147" spans="2:12" ht="63.75" hidden="1" outlineLevel="1">
      <c r="B147" s="6">
        <v>20</v>
      </c>
      <c r="C147" s="847" t="str">
        <f>DocPremises[[#This Row],[Category EN]]&amp;IF(LEN(DocPremises[[#This Row],[Subcategory EN]])&gt;0," 
" &amp;DocPremises[[#This Row],[Subcategory EN]],)</f>
        <v>Supplier 
Layers</v>
      </c>
      <c r="D147" s="449" t="s">
        <v>1439</v>
      </c>
      <c r="E147" s="847" t="str">
        <f>DocPremises[[#This Row],[Category DE]]&amp;IF(LEN(DocPremises[[#This Row],[Subcategory DE]])&gt;0," 
" &amp;DocPremises[[#This Row],[Subcategory DE]],)</f>
        <v>Lieferant 
Schichten</v>
      </c>
      <c r="F147" s="19" t="s">
        <v>1486</v>
      </c>
      <c r="G147" s="6" t="s">
        <v>597</v>
      </c>
      <c r="H147" s="6" t="s">
        <v>602</v>
      </c>
      <c r="I147" s="6" t="s">
        <v>558</v>
      </c>
      <c r="J147" s="6" t="s">
        <v>6</v>
      </c>
      <c r="K147" s="6"/>
      <c r="L147" s="6">
        <v>1</v>
      </c>
    </row>
    <row r="148" spans="2:12" ht="63.75" hidden="1" outlineLevel="1">
      <c r="B148" s="6">
        <v>21</v>
      </c>
      <c r="C148" s="847" t="str">
        <f>DocPremises[[#This Row],[Category EN]]&amp;IF(LEN(DocPremises[[#This Row],[Subcategory EN]])&gt;0," 
" &amp;DocPremises[[#This Row],[Subcategory EN]],)</f>
        <v>Supplier 
Labor costs machine operator</v>
      </c>
      <c r="D148" s="449" t="s">
        <v>1447</v>
      </c>
      <c r="E148" s="847" t="str">
        <f>DocPremises[[#This Row],[Category DE]]&amp;IF(LEN(DocPremises[[#This Row],[Subcategory DE]])&gt;0," 
" &amp;DocPremises[[#This Row],[Subcategory DE]],)</f>
        <v>Lieferant 
Arbeitskosten Maschinenbediener</v>
      </c>
      <c r="F148" s="19" t="s">
        <v>1440</v>
      </c>
      <c r="G148" s="6" t="s">
        <v>597</v>
      </c>
      <c r="H148" s="6" t="s">
        <v>603</v>
      </c>
      <c r="I148" s="6" t="s">
        <v>558</v>
      </c>
      <c r="J148" s="6" t="s">
        <v>91</v>
      </c>
      <c r="K148" s="6" t="s">
        <v>119</v>
      </c>
      <c r="L148" s="6">
        <v>1</v>
      </c>
    </row>
    <row r="149" spans="2:12" ht="63.75" hidden="1" outlineLevel="1">
      <c r="B149" s="6">
        <v>22</v>
      </c>
      <c r="C149" s="847" t="str">
        <f>DocPremises[[#This Row],[Category EN]]&amp;IF(LEN(DocPremises[[#This Row],[Subcategory EN]])&gt;0," 
" &amp;DocPremises[[#This Row],[Subcategory EN]],)</f>
        <v>Supplier 
Labor costs skilled worker/employer</v>
      </c>
      <c r="D149" s="449" t="s">
        <v>1446</v>
      </c>
      <c r="E149" s="847" t="str">
        <f>DocPremises[[#This Row],[Category DE]]&amp;IF(LEN(DocPremises[[#This Row],[Subcategory DE]])&gt;0," 
" &amp;DocPremises[[#This Row],[Subcategory DE]],)</f>
        <v>Lieferant 
Arbeitskosten Facharbeiter/Einsteller</v>
      </c>
      <c r="F149" s="19" t="s">
        <v>1441</v>
      </c>
      <c r="G149" s="6" t="s">
        <v>597</v>
      </c>
      <c r="H149" s="6" t="s">
        <v>604</v>
      </c>
      <c r="I149" s="6" t="s">
        <v>558</v>
      </c>
      <c r="J149" s="6" t="s">
        <v>92</v>
      </c>
      <c r="K149" s="6" t="s">
        <v>119</v>
      </c>
      <c r="L149" s="6">
        <v>1</v>
      </c>
    </row>
    <row r="150" spans="2:12" ht="63.75" hidden="1" outlineLevel="1">
      <c r="B150" s="6">
        <v>23</v>
      </c>
      <c r="C150" s="847" t="str">
        <f>DocPremises[[#This Row],[Category EN]]&amp;IF(LEN(DocPremises[[#This Row],[Subcategory EN]])&gt;0," 
" &amp;DocPremises[[#This Row],[Subcategory EN]],)</f>
        <v>Supplier 
Rent</v>
      </c>
      <c r="D150" s="449" t="s">
        <v>1448</v>
      </c>
      <c r="E150" s="847" t="str">
        <f>DocPremises[[#This Row],[Category DE]]&amp;IF(LEN(DocPremises[[#This Row],[Subcategory DE]])&gt;0," 
" &amp;DocPremises[[#This Row],[Subcategory DE]],)</f>
        <v>Lieferant 
Miete</v>
      </c>
      <c r="F150" s="19" t="s">
        <v>1442</v>
      </c>
      <c r="G150" s="6" t="s">
        <v>597</v>
      </c>
      <c r="H150" s="6" t="s">
        <v>542</v>
      </c>
      <c r="I150" s="6" t="s">
        <v>558</v>
      </c>
      <c r="J150" s="6" t="s">
        <v>17</v>
      </c>
      <c r="K150" s="6" t="s">
        <v>605</v>
      </c>
      <c r="L150" s="6">
        <v>1</v>
      </c>
    </row>
    <row r="151" spans="2:12" ht="63.75" hidden="1" outlineLevel="1">
      <c r="B151" s="6">
        <v>24</v>
      </c>
      <c r="C151" s="847" t="str">
        <f>DocPremises[[#This Row],[Category EN]]&amp;IF(LEN(DocPremises[[#This Row],[Subcategory EN]])&gt;0," 
" &amp;DocPremises[[#This Row],[Subcategory EN]],)</f>
        <v>Supplier 
Enery</v>
      </c>
      <c r="D151" s="449" t="s">
        <v>1449</v>
      </c>
      <c r="E151" s="847" t="str">
        <f>DocPremises[[#This Row],[Category DE]]&amp;IF(LEN(DocPremises[[#This Row],[Subcategory DE]])&gt;0," 
" &amp;DocPremises[[#This Row],[Subcategory DE]],)</f>
        <v>Lieferant 
Strom</v>
      </c>
      <c r="F151" s="19" t="s">
        <v>1444</v>
      </c>
      <c r="G151" s="6" t="s">
        <v>597</v>
      </c>
      <c r="H151" s="6" t="s">
        <v>1268</v>
      </c>
      <c r="I151" s="6" t="s">
        <v>558</v>
      </c>
      <c r="J151" s="6" t="s">
        <v>21</v>
      </c>
      <c r="K151" s="6" t="s">
        <v>606</v>
      </c>
      <c r="L151" s="6">
        <v>1</v>
      </c>
    </row>
    <row r="152" spans="2:12" ht="63.75" hidden="1" outlineLevel="1">
      <c r="B152" s="6">
        <v>25</v>
      </c>
      <c r="C152" s="847" t="str">
        <f>DocPremises[[#This Row],[Category EN]]&amp;IF(LEN(DocPremises[[#This Row],[Subcategory EN]])&gt;0," 
" &amp;DocPremises[[#This Row],[Subcategory EN]],)</f>
        <v>Supplier 
Natural gas</v>
      </c>
      <c r="D152" s="449" t="s">
        <v>1450</v>
      </c>
      <c r="E152" s="847" t="str">
        <f>DocPremises[[#This Row],[Category DE]]&amp;IF(LEN(DocPremises[[#This Row],[Subcategory DE]])&gt;0," 
" &amp;DocPremises[[#This Row],[Subcategory DE]],)</f>
        <v>Lieferant 
Erdgas</v>
      </c>
      <c r="F152" s="19" t="s">
        <v>1443</v>
      </c>
      <c r="G152" s="6" t="s">
        <v>597</v>
      </c>
      <c r="H152" s="6" t="s">
        <v>1130</v>
      </c>
      <c r="I152" s="6" t="s">
        <v>558</v>
      </c>
      <c r="J152" s="6" t="s">
        <v>587</v>
      </c>
      <c r="K152" s="6" t="s">
        <v>606</v>
      </c>
      <c r="L152" s="6">
        <v>1</v>
      </c>
    </row>
    <row r="153" spans="2:12" ht="63.75" hidden="1" outlineLevel="1">
      <c r="B153" s="6">
        <v>26</v>
      </c>
      <c r="C153" s="847" t="str">
        <f>DocPremises[[#This Row],[Category EN]]&amp;IF(LEN(DocPremises[[#This Row],[Subcategory EN]])&gt;0," 
" &amp;DocPremises[[#This Row],[Subcategory EN]],)</f>
        <v>Supplier 
Imputed interest rate</v>
      </c>
      <c r="D153" s="449" t="s">
        <v>1451</v>
      </c>
      <c r="E153" s="847" t="str">
        <f>DocPremises[[#This Row],[Category DE]]&amp;IF(LEN(DocPremises[[#This Row],[Subcategory DE]])&gt;0," 
" &amp;DocPremises[[#This Row],[Subcategory DE]],)</f>
        <v>Lieferant 
Kalkulatorischer Zinssatz</v>
      </c>
      <c r="F153" s="19" t="s">
        <v>1445</v>
      </c>
      <c r="G153" s="6" t="s">
        <v>597</v>
      </c>
      <c r="H153" s="6" t="s">
        <v>1269</v>
      </c>
      <c r="I153" s="6" t="s">
        <v>558</v>
      </c>
      <c r="J153" s="6" t="s">
        <v>1270</v>
      </c>
      <c r="K153" s="6" t="s">
        <v>3</v>
      </c>
      <c r="L153" s="6">
        <v>1</v>
      </c>
    </row>
    <row r="154" spans="2:12" ht="76.5" hidden="1" outlineLevel="1">
      <c r="B154" s="6">
        <v>28</v>
      </c>
      <c r="C154" s="847" t="str">
        <f>DocPremises[[#This Row],[Category EN]]&amp;IF(LEN(DocPremises[[#This Row],[Subcategory EN]])&gt;0," 
" &amp;DocPremises[[#This Row],[Subcategory EN]],)</f>
        <v>Supplier 
IMC rate</v>
      </c>
      <c r="D154" s="449" t="s">
        <v>1455</v>
      </c>
      <c r="E154" s="847" t="str">
        <f>DocPremises[[#This Row],[Category DE]]&amp;IF(LEN(DocPremises[[#This Row],[Subcategory DE]])&gt;0," 
" &amp;DocPremises[[#This Row],[Subcategory DE]],)</f>
        <v>Lieferant 
RFGK-Satz</v>
      </c>
      <c r="F154" s="19" t="s">
        <v>1454</v>
      </c>
      <c r="G154" s="6" t="s">
        <v>597</v>
      </c>
      <c r="H154" s="6" t="s">
        <v>1272</v>
      </c>
      <c r="I154" s="6" t="s">
        <v>558</v>
      </c>
      <c r="J154" s="6" t="s">
        <v>64</v>
      </c>
      <c r="K154" s="6" t="s">
        <v>3</v>
      </c>
      <c r="L154" s="6">
        <v>1</v>
      </c>
    </row>
    <row r="155" spans="2:12" ht="76.5" hidden="1" outlineLevel="1">
      <c r="B155" s="6">
        <v>29</v>
      </c>
      <c r="C155" s="847" t="str">
        <f>DocPremises[[#This Row],[Category EN]]&amp;IF(LEN(DocPremises[[#This Row],[Subcategory EN]])&gt;0," 
" &amp;DocPremises[[#This Row],[Subcategory EN]],)</f>
        <v>Supplier 
Ind. Material Rate</v>
      </c>
      <c r="D155" s="449" t="s">
        <v>1456</v>
      </c>
      <c r="E155" s="847" t="str">
        <f>DocPremises[[#This Row],[Category DE]]&amp;IF(LEN(DocPremises[[#This Row],[Subcategory DE]])&gt;0," 
" &amp;DocPremises[[#This Row],[Subcategory DE]],)</f>
        <v>Lieferant 
MGK-Satz</v>
      </c>
      <c r="F155" s="19" t="s">
        <v>1453</v>
      </c>
      <c r="G155" s="6" t="s">
        <v>597</v>
      </c>
      <c r="H155" s="6" t="s">
        <v>1480</v>
      </c>
      <c r="I155" s="6" t="s">
        <v>558</v>
      </c>
      <c r="J155" s="6" t="s">
        <v>99</v>
      </c>
      <c r="K155" s="6" t="s">
        <v>3</v>
      </c>
      <c r="L155" s="6">
        <v>1</v>
      </c>
    </row>
    <row r="156" spans="2:12" ht="25.5" hidden="1" outlineLevel="1">
      <c r="B156" s="6">
        <v>30</v>
      </c>
      <c r="C156" s="847" t="str">
        <f>DocPremises[[#This Row],[Category EN]]&amp;IF(LEN(DocPremises[[#This Row],[Subcategory EN]])&gt;0," 
" &amp;DocPremises[[#This Row],[Subcategory EN]],)</f>
        <v>Supplier 
Scrap rate</v>
      </c>
      <c r="D156" s="449" t="s">
        <v>607</v>
      </c>
      <c r="E156" s="847" t="str">
        <f>DocPremises[[#This Row],[Category DE]]&amp;IF(LEN(DocPremises[[#This Row],[Subcategory DE]])&gt;0," 
" &amp;DocPremises[[#This Row],[Subcategory DE]],)</f>
        <v>Lieferant 
Ausschussrate</v>
      </c>
      <c r="F156" s="19" t="s">
        <v>1463</v>
      </c>
      <c r="G156" s="6" t="s">
        <v>597</v>
      </c>
      <c r="H156" s="6" t="s">
        <v>481</v>
      </c>
      <c r="I156" s="6" t="s">
        <v>558</v>
      </c>
      <c r="J156" s="6" t="s">
        <v>77</v>
      </c>
      <c r="K156" s="6" t="s">
        <v>3</v>
      </c>
      <c r="L156" s="6">
        <v>1</v>
      </c>
    </row>
    <row r="157" spans="2:12" ht="63.75" hidden="1" outlineLevel="1">
      <c r="B157" s="6">
        <v>31</v>
      </c>
      <c r="C157" s="847" t="str">
        <f>DocPremises[[#This Row],[Category EN]]&amp;IF(LEN(DocPremises[[#This Row],[Subcategory EN]])&gt;0," 
" &amp;DocPremises[[#This Row],[Subcategory EN]],)</f>
        <v>Supplier 
SG&amp;A</v>
      </c>
      <c r="D157" s="449" t="s">
        <v>1487</v>
      </c>
      <c r="E157" s="847" t="str">
        <f>DocPremises[[#This Row],[Category DE]]&amp;IF(LEN(DocPremises[[#This Row],[Subcategory DE]])&gt;0," 
" &amp;DocPremises[[#This Row],[Subcategory DE]],)</f>
        <v>Lieferant 
VVGK</v>
      </c>
      <c r="F157" s="19" t="s">
        <v>1457</v>
      </c>
      <c r="G157" s="6" t="s">
        <v>597</v>
      </c>
      <c r="H157" s="6" t="s">
        <v>210</v>
      </c>
      <c r="I157" s="6" t="s">
        <v>558</v>
      </c>
      <c r="J157" s="6" t="s">
        <v>13</v>
      </c>
      <c r="K157" s="6" t="s">
        <v>3</v>
      </c>
      <c r="L157" s="6">
        <v>1</v>
      </c>
    </row>
    <row r="158" spans="2:12" ht="63.75" hidden="1" outlineLevel="1">
      <c r="B158" s="6">
        <v>32</v>
      </c>
      <c r="C158" s="847" t="str">
        <f>DocPremises[[#This Row],[Category EN]]&amp;IF(LEN(DocPremises[[#This Row],[Subcategory EN]])&gt;0," 
" &amp;DocPremises[[#This Row],[Subcategory EN]],)</f>
        <v>Supplier 
SG&amp;A Added value</v>
      </c>
      <c r="D158" s="449" t="s">
        <v>1464</v>
      </c>
      <c r="E158" s="847" t="str">
        <f>DocPremises[[#This Row],[Category DE]]&amp;IF(LEN(DocPremises[[#This Row],[Subcategory DE]])&gt;0," 
" &amp;DocPremises[[#This Row],[Subcategory DE]],)</f>
        <v>Lieferant 
VVGK Wertschöpfung</v>
      </c>
      <c r="F158" s="19" t="s">
        <v>1458</v>
      </c>
      <c r="G158" s="6" t="s">
        <v>597</v>
      </c>
      <c r="H158" s="6" t="s">
        <v>498</v>
      </c>
      <c r="I158" s="6" t="s">
        <v>558</v>
      </c>
      <c r="J158" s="6" t="s">
        <v>41</v>
      </c>
      <c r="K158" s="6" t="s">
        <v>3</v>
      </c>
      <c r="L158" s="6">
        <v>1</v>
      </c>
    </row>
    <row r="159" spans="2:12" ht="63.75" hidden="1" outlineLevel="1">
      <c r="B159" s="6">
        <v>33</v>
      </c>
      <c r="C159" s="847" t="str">
        <f>DocPremises[[#This Row],[Category EN]]&amp;IF(LEN(DocPremises[[#This Row],[Subcategory EN]])&gt;0," 
" &amp;DocPremises[[#This Row],[Subcategory EN]],)</f>
        <v>Supplier 
SG&amp;A Material</v>
      </c>
      <c r="D159" s="449" t="s">
        <v>1465</v>
      </c>
      <c r="E159" s="847" t="str">
        <f>DocPremises[[#This Row],[Category DE]]&amp;IF(LEN(DocPremises[[#This Row],[Subcategory DE]])&gt;0," 
" &amp;DocPremises[[#This Row],[Subcategory DE]],)</f>
        <v>Lieferant 
VVGK Material</v>
      </c>
      <c r="F159" s="19" t="s">
        <v>1459</v>
      </c>
      <c r="G159" s="6" t="s">
        <v>597</v>
      </c>
      <c r="H159" s="6" t="s">
        <v>500</v>
      </c>
      <c r="I159" s="6" t="s">
        <v>558</v>
      </c>
      <c r="J159" s="6" t="s">
        <v>42</v>
      </c>
      <c r="K159" s="6" t="s">
        <v>3</v>
      </c>
      <c r="L159" s="6">
        <v>1</v>
      </c>
    </row>
    <row r="160" spans="2:12" ht="63.75" hidden="1" outlineLevel="1">
      <c r="B160" s="6">
        <v>34</v>
      </c>
      <c r="C160" s="847" t="str">
        <f>DocPremises[[#This Row],[Category EN]]&amp;IF(LEN(DocPremises[[#This Row],[Subcategory EN]])&gt;0," 
" &amp;DocPremises[[#This Row],[Subcategory EN]],)</f>
        <v>Supplier 
Profit</v>
      </c>
      <c r="D160" s="449" t="s">
        <v>1488</v>
      </c>
      <c r="E160" s="847" t="str">
        <f>DocPremises[[#This Row],[Category DE]]&amp;IF(LEN(DocPremises[[#This Row],[Subcategory DE]])&gt;0," 
" &amp;DocPremises[[#This Row],[Subcategory DE]],)</f>
        <v>Lieferant 
Gewinn</v>
      </c>
      <c r="F160" s="19" t="s">
        <v>1460</v>
      </c>
      <c r="G160" s="6" t="s">
        <v>597</v>
      </c>
      <c r="H160" s="6" t="s">
        <v>209</v>
      </c>
      <c r="I160" s="6" t="s">
        <v>558</v>
      </c>
      <c r="J160" s="6" t="s">
        <v>14</v>
      </c>
      <c r="K160" s="6" t="s">
        <v>3</v>
      </c>
      <c r="L160" s="6">
        <v>1</v>
      </c>
    </row>
    <row r="161" spans="2:12" ht="63.75" hidden="1" outlineLevel="1">
      <c r="B161" s="6">
        <v>35</v>
      </c>
      <c r="C161" s="847" t="str">
        <f>DocPremises[[#This Row],[Category EN]]&amp;IF(LEN(DocPremises[[#This Row],[Subcategory EN]])&gt;0," 
" &amp;DocPremises[[#This Row],[Subcategory EN]],)</f>
        <v>Supplier 
Profit Added value</v>
      </c>
      <c r="D161" s="449" t="s">
        <v>1466</v>
      </c>
      <c r="E161" s="847" t="str">
        <f>DocPremises[[#This Row],[Category DE]]&amp;IF(LEN(DocPremises[[#This Row],[Subcategory DE]])&gt;0," 
" &amp;DocPremises[[#This Row],[Subcategory DE]],)</f>
        <v>Lieferant 
Gewinn Wertschöpfung</v>
      </c>
      <c r="F161" s="19" t="s">
        <v>1461</v>
      </c>
      <c r="G161" s="6" t="s">
        <v>597</v>
      </c>
      <c r="H161" s="6" t="s">
        <v>503</v>
      </c>
      <c r="I161" s="6" t="s">
        <v>558</v>
      </c>
      <c r="J161" s="6" t="s">
        <v>43</v>
      </c>
      <c r="K161" s="6" t="s">
        <v>3</v>
      </c>
      <c r="L161" s="6">
        <v>1</v>
      </c>
    </row>
    <row r="162" spans="2:12" ht="63.75" hidden="1" outlineLevel="1">
      <c r="B162" s="6">
        <v>36</v>
      </c>
      <c r="C162" s="847" t="str">
        <f>DocPremises[[#This Row],[Category EN]]&amp;IF(LEN(DocPremises[[#This Row],[Subcategory EN]])&gt;0," 
" &amp;DocPremises[[#This Row],[Subcategory EN]],)</f>
        <v>Supplier 
Profit Material</v>
      </c>
      <c r="D162" s="449" t="s">
        <v>1467</v>
      </c>
      <c r="E162" s="847" t="str">
        <f>DocPremises[[#This Row],[Category DE]]&amp;IF(LEN(DocPremises[[#This Row],[Subcategory DE]])&gt;0," 
" &amp;DocPremises[[#This Row],[Subcategory DE]],)</f>
        <v>Lieferant 
Gewinn Material</v>
      </c>
      <c r="F162" s="19" t="s">
        <v>1462</v>
      </c>
      <c r="G162" s="6" t="s">
        <v>597</v>
      </c>
      <c r="H162" s="6" t="s">
        <v>506</v>
      </c>
      <c r="I162" s="6" t="s">
        <v>558</v>
      </c>
      <c r="J162" s="6" t="s">
        <v>44</v>
      </c>
      <c r="K162" s="6" t="s">
        <v>3</v>
      </c>
      <c r="L162" s="6">
        <v>1</v>
      </c>
    </row>
    <row r="163" spans="2:12" ht="63.75" hidden="1" outlineLevel="1">
      <c r="B163" s="6">
        <v>37</v>
      </c>
      <c r="C163" s="847" t="str">
        <f>DocPremises[[#This Row],[Category EN]]&amp;IF(LEN(DocPremises[[#This Row],[Subcategory EN]])&gt;0," 
" &amp;DocPremises[[#This Row],[Subcategory EN]],)</f>
        <v>Supplier 
Addition Other (Logistics etc.)</v>
      </c>
      <c r="D163" s="449" t="s">
        <v>1477</v>
      </c>
      <c r="E163" s="847" t="str">
        <f>DocPremises[[#This Row],[Category DE]]&amp;IF(LEN(DocPremises[[#This Row],[Subcategory DE]])&gt;0," 
" &amp;DocPremises[[#This Row],[Subcategory DE]],)</f>
        <v>Lieferant 
Zuschlag Sonstige (Logistik etc.)</v>
      </c>
      <c r="F163" s="19" t="s">
        <v>1476</v>
      </c>
      <c r="G163" s="6" t="s">
        <v>597</v>
      </c>
      <c r="H163" s="6" t="s">
        <v>668</v>
      </c>
      <c r="I163" s="6" t="s">
        <v>558</v>
      </c>
      <c r="J163" s="6" t="s">
        <v>665</v>
      </c>
      <c r="K163" s="6" t="s">
        <v>3</v>
      </c>
      <c r="L163" s="6">
        <v>1</v>
      </c>
    </row>
    <row r="164" spans="2:12" ht="127.5" hidden="1" outlineLevel="1">
      <c r="B164" s="6">
        <v>39</v>
      </c>
      <c r="C164" s="847" t="str">
        <f>DocPremises[[#This Row],[Category EN]]&amp;IF(LEN(DocPremises[[#This Row],[Subcategory EN]])&gt;0," 
" &amp;DocPremises[[#This Row],[Subcategory EN]],)</f>
        <v>Supplier 
IMC share</v>
      </c>
      <c r="D164" s="449" t="s">
        <v>1479</v>
      </c>
      <c r="E164" s="847" t="str">
        <f>DocPremises[[#This Row],[Category DE]]&amp;IF(LEN(DocPremises[[#This Row],[Subcategory DE]])&gt;0," 
" &amp;DocPremises[[#This Row],[Subcategory DE]],)</f>
        <v>Lieferant 
Anteil RFGK</v>
      </c>
      <c r="F164" s="19" t="s">
        <v>1795</v>
      </c>
      <c r="G164" s="6" t="s">
        <v>597</v>
      </c>
      <c r="H164" s="6" t="s">
        <v>1273</v>
      </c>
      <c r="I164" s="6" t="s">
        <v>558</v>
      </c>
      <c r="J164" s="6" t="s">
        <v>1243</v>
      </c>
      <c r="K164" s="6"/>
      <c r="L164" s="6">
        <v>1</v>
      </c>
    </row>
    <row r="165" spans="2:12" ht="127.5" hidden="1" outlineLevel="1">
      <c r="B165" s="6">
        <v>40</v>
      </c>
      <c r="C165" s="847" t="str">
        <f>DocPremises[[#This Row],[Category EN]]&amp;IF(LEN(DocPremises[[#This Row],[Subcategory EN]])&gt;0," 
" &amp;DocPremises[[#This Row],[Subcategory EN]],)</f>
        <v>Supplier 
Ind. Material share</v>
      </c>
      <c r="D165" s="449" t="s">
        <v>1478</v>
      </c>
      <c r="E165" s="847" t="str">
        <f>DocPremises[[#This Row],[Category DE]]&amp;IF(LEN(DocPremises[[#This Row],[Subcategory DE]])&gt;0," 
" &amp;DocPremises[[#This Row],[Subcategory DE]],)</f>
        <v>Lieferant 
Anteil MGK</v>
      </c>
      <c r="F165" s="19" t="s">
        <v>1796</v>
      </c>
      <c r="G165" s="6" t="s">
        <v>597</v>
      </c>
      <c r="H165" s="6" t="s">
        <v>1481</v>
      </c>
      <c r="I165" s="6" t="s">
        <v>558</v>
      </c>
      <c r="J165" s="6" t="s">
        <v>1244</v>
      </c>
      <c r="K165" s="6"/>
      <c r="L165" s="6">
        <v>1</v>
      </c>
    </row>
    <row r="166" spans="2:12" ht="25.5" hidden="1" outlineLevel="1">
      <c r="B166" s="465">
        <v>54</v>
      </c>
      <c r="C166" s="847" t="str">
        <f>DocPremises[[#This Row],[Category EN]]&amp;IF(LEN(DocPremises[[#This Row],[Subcategory EN]])&gt;0," 
" &amp;DocPremises[[#This Row],[Subcategory EN]],)</f>
        <v/>
      </c>
      <c r="E166" s="847" t="str">
        <f>DocPremises[[#This Row],[Category DE]]&amp;IF(LEN(DocPremises[[#This Row],[Subcategory DE]])&gt;0," 
" &amp;DocPremises[[#This Row],[Subcategory DE]],)</f>
        <v>Lieferant 
Energiemix</v>
      </c>
      <c r="I166" s="6" t="s">
        <v>558</v>
      </c>
      <c r="J166" s="6" t="s">
        <v>1412</v>
      </c>
      <c r="K166" s="6"/>
      <c r="L166" s="6">
        <v>1</v>
      </c>
    </row>
    <row r="167" spans="2:12" ht="38.25" hidden="1" outlineLevel="1">
      <c r="B167" s="465">
        <v>55</v>
      </c>
      <c r="C167" s="847" t="str">
        <f>DocPremises[[#This Row],[Category EN]]&amp;IF(LEN(DocPremises[[#This Row],[Subcategory EN]])&gt;0," 
" &amp;DocPremises[[#This Row],[Subcategory EN]],)</f>
        <v/>
      </c>
      <c r="E167" s="847" t="str">
        <f>DocPremises[[#This Row],[Category DE]]&amp;IF(LEN(DocPremises[[#This Row],[Subcategory DE]])&gt;0," 
" &amp;DocPremises[[#This Row],[Subcategory DE]],)</f>
        <v>Lieferant 
Stromkosten Energiemix</v>
      </c>
      <c r="I167" s="6" t="s">
        <v>558</v>
      </c>
      <c r="J167" s="6" t="s">
        <v>1415</v>
      </c>
      <c r="K167" s="6" t="s">
        <v>606</v>
      </c>
      <c r="L167" s="6">
        <v>1</v>
      </c>
    </row>
    <row r="168" spans="2:12" ht="25.5" hidden="1" outlineLevel="1">
      <c r="B168" s="465">
        <v>56</v>
      </c>
      <c r="C168" s="847" t="str">
        <f>DocPremises[[#This Row],[Category EN]]&amp;IF(LEN(DocPremises[[#This Row],[Subcategory EN]])&gt;0," 
" &amp;DocPremises[[#This Row],[Subcategory EN]],)</f>
        <v/>
      </c>
      <c r="E168" s="847" t="str">
        <f>DocPremises[[#This Row],[Category DE]]&amp;IF(LEN(DocPremises[[#This Row],[Subcategory DE]])&gt;0," 
" &amp;DocPremises[[#This Row],[Subcategory DE]],)</f>
        <v>Lieferant 
Emissionsfaktor Strom</v>
      </c>
      <c r="I168" s="6" t="s">
        <v>558</v>
      </c>
      <c r="J168" s="6" t="s">
        <v>2071</v>
      </c>
      <c r="K168" s="6" t="s">
        <v>1413</v>
      </c>
      <c r="L168" s="6">
        <v>1</v>
      </c>
    </row>
    <row r="169" spans="2:12" ht="38.25" hidden="1" outlineLevel="1">
      <c r="B169" s="465">
        <v>57</v>
      </c>
      <c r="C169" s="847" t="str">
        <f>DocPremises[[#This Row],[Category EN]]&amp;IF(LEN(DocPremises[[#This Row],[Subcategory EN]])&gt;0," 
" &amp;DocPremises[[#This Row],[Subcategory EN]],)</f>
        <v/>
      </c>
      <c r="E169" s="847" t="str">
        <f>DocPremises[[#This Row],[Category DE]]&amp;IF(LEN(DocPremises[[#This Row],[Subcategory DE]])&gt;0," 
" &amp;DocPremises[[#This Row],[Subcategory DE]],)</f>
        <v>Lieferant 
Emissionsfaktor Erdgas</v>
      </c>
      <c r="I169" s="6" t="s">
        <v>558</v>
      </c>
      <c r="J169" s="6" t="s">
        <v>2072</v>
      </c>
      <c r="K169" s="6" t="s">
        <v>1413</v>
      </c>
      <c r="L169" s="6">
        <v>1</v>
      </c>
    </row>
    <row r="170" spans="2:12" ht="38.25" hidden="1" outlineLevel="1">
      <c r="B170" s="465">
        <v>59</v>
      </c>
      <c r="C170" s="847" t="str">
        <f>DocPremises[[#This Row],[Category EN]]&amp;IF(LEN(DocPremises[[#This Row],[Subcategory EN]])&gt;0," 
" &amp;DocPremises[[#This Row],[Subcategory EN]],)</f>
        <v/>
      </c>
      <c r="E170" s="847" t="str">
        <f>DocPremises[[#This Row],[Category DE]]&amp;IF(LEN(DocPremises[[#This Row],[Subcategory DE]])&gt;0," 
" &amp;DocPremises[[#This Row],[Subcategory DE]],)</f>
        <v>Lieferant 
CO₂-Ausstoß Fertigung</v>
      </c>
      <c r="I170" s="6" t="s">
        <v>558</v>
      </c>
      <c r="J170" s="6" t="s">
        <v>2069</v>
      </c>
      <c r="K170" s="6" t="s">
        <v>2089</v>
      </c>
      <c r="L170" s="6">
        <v>1</v>
      </c>
    </row>
    <row r="171" spans="2:12" ht="25.5" hidden="1" outlineLevel="1">
      <c r="B171" s="465">
        <v>60</v>
      </c>
      <c r="C171" s="847" t="str">
        <f>DocPremises[[#This Row],[Category EN]]&amp;IF(LEN(DocPremises[[#This Row],[Subcategory EN]])&gt;0," 
" &amp;DocPremises[[#This Row],[Subcategory EN]],)</f>
        <v/>
      </c>
      <c r="E171" s="847" t="str">
        <f>DocPremises[[#This Row],[Category DE]]&amp;IF(LEN(DocPremises[[#This Row],[Subcategory DE]])&gt;0," 
" &amp;DocPremises[[#This Row],[Subcategory DE]],)</f>
        <v>Lieferant 
CO₂-Ausstoß Material</v>
      </c>
      <c r="I171" s="6" t="s">
        <v>558</v>
      </c>
      <c r="J171" s="6" t="s">
        <v>2070</v>
      </c>
      <c r="K171" s="6" t="s">
        <v>2089</v>
      </c>
      <c r="L171" s="6">
        <v>1</v>
      </c>
    </row>
    <row r="172" spans="2:12" ht="51" hidden="1" outlineLevel="1">
      <c r="B172" s="465">
        <v>61</v>
      </c>
      <c r="C172" s="847" t="str">
        <f>DocPremises[[#This Row],[Category EN]]&amp;IF(LEN(DocPremises[[#This Row],[Subcategory EN]])&gt;0," 
" &amp;DocPremises[[#This Row],[Subcategory EN]],)</f>
        <v/>
      </c>
      <c r="E172" s="847" t="str">
        <f>DocPremises[[#This Row],[Category DE]]&amp;IF(LEN(DocPremises[[#This Row],[Subcategory DE]])&gt;0," 
" &amp;DocPremises[[#This Row],[Subcategory DE]],)</f>
        <v>Lieferant 
CO₂-Ausstoß Sonstige (Logistik etc.)</v>
      </c>
      <c r="I172" s="6" t="s">
        <v>558</v>
      </c>
      <c r="J172" s="6" t="s">
        <v>2117</v>
      </c>
      <c r="K172" s="6" t="s">
        <v>2089</v>
      </c>
      <c r="L172" s="6">
        <v>1</v>
      </c>
    </row>
    <row r="173" spans="2:12" ht="25.5" hidden="1" outlineLevel="1">
      <c r="B173" s="465">
        <v>62</v>
      </c>
      <c r="C173" s="847" t="str">
        <f>DocPremises[[#This Row],[Category EN]]&amp;IF(LEN(DocPremises[[#This Row],[Subcategory EN]])&gt;0," 
" &amp;DocPremises[[#This Row],[Subcategory EN]],)</f>
        <v/>
      </c>
      <c r="E173" s="847" t="str">
        <f>DocPremises[[#This Row],[Category DE]]&amp;IF(LEN(DocPremises[[#This Row],[Subcategory DE]])&gt;0," 
" &amp;DocPremises[[#This Row],[Subcategory DE]],)</f>
        <v>Lieferant 
CO₂-Ausstoß</v>
      </c>
      <c r="I173" s="6" t="s">
        <v>558</v>
      </c>
      <c r="J173" s="6" t="s">
        <v>1414</v>
      </c>
      <c r="K173" s="6" t="s">
        <v>2089</v>
      </c>
      <c r="L173" s="6">
        <v>1</v>
      </c>
    </row>
    <row r="174" spans="2:12" ht="38.25" hidden="1" outlineLevel="1">
      <c r="B174" s="465">
        <v>64</v>
      </c>
      <c r="C174" s="847" t="str">
        <f>DocPremises[[#This Row],[Category EN]]&amp;IF(LEN(DocPremises[[#This Row],[Subcategory EN]])&gt;0," 
" &amp;DocPremises[[#This Row],[Subcategory EN]],)</f>
        <v/>
      </c>
      <c r="E174" s="847" t="str">
        <f>DocPremises[[#This Row],[Category DE]]&amp;IF(LEN(DocPremises[[#This Row],[Subcategory DE]])&gt;0," 
" &amp;DocPremises[[#This Row],[Subcategory DE]],)</f>
        <v>Lieferant 
Zusatzkosten durch CO₂-Neutralität</v>
      </c>
      <c r="I174" s="6" t="s">
        <v>558</v>
      </c>
      <c r="J174" s="6" t="s">
        <v>2177</v>
      </c>
      <c r="K174" s="6" t="str">
        <f>Currency</f>
        <v>EUR</v>
      </c>
      <c r="L174" s="6">
        <v>1</v>
      </c>
    </row>
    <row r="175" spans="2:12" hidden="1" outlineLevel="1">
      <c r="B175" s="465">
        <v>65</v>
      </c>
      <c r="C175" s="847" t="str">
        <f>DocPremises[[#This Row],[Category EN]]&amp;IF(LEN(DocPremises[[#This Row],[Subcategory EN]])&gt;0," 
" &amp;DocPremises[[#This Row],[Subcategory EN]],)</f>
        <v/>
      </c>
      <c r="E175" s="847" t="str">
        <f>DocPremises[[#This Row],[Category DE]]&amp;IF(LEN(DocPremises[[#This Row],[Subcategory DE]])&gt;0," 
" &amp;DocPremises[[#This Row],[Subcategory DE]],)</f>
        <v/>
      </c>
      <c r="K175" s="6"/>
      <c r="L175" s="6">
        <v>1</v>
      </c>
    </row>
    <row r="176" spans="2:12" ht="25.5" hidden="1" outlineLevel="1">
      <c r="B176" s="465">
        <v>66</v>
      </c>
      <c r="C176" s="847" t="str">
        <f>DocPremises[[#This Row],[Category EN]]&amp;IF(LEN(DocPremises[[#This Row],[Subcategory EN]])&gt;0," 
" &amp;DocPremises[[#This Row],[Subcategory EN]],)</f>
        <v/>
      </c>
      <c r="E176" s="847" t="str">
        <f>DocPremises[[#This Row],[Category DE]]&amp;IF(LEN(DocPremises[[#This Row],[Subcategory DE]])&gt;0," 
" &amp;DocPremises[[#This Row],[Subcategory DE]],)</f>
        <v>Lieferant 
Latitude</v>
      </c>
      <c r="I176" s="6" t="s">
        <v>558</v>
      </c>
      <c r="J176" s="6" t="s">
        <v>2136</v>
      </c>
      <c r="K176" s="6" t="s">
        <v>2142</v>
      </c>
      <c r="L176" s="6">
        <v>1</v>
      </c>
    </row>
    <row r="177" spans="1:12" ht="25.5" hidden="1" outlineLevel="1">
      <c r="B177" s="465">
        <v>67</v>
      </c>
      <c r="C177" s="847" t="str">
        <f>DocPremises[[#This Row],[Category EN]]&amp;IF(LEN(DocPremises[[#This Row],[Subcategory EN]])&gt;0," 
" &amp;DocPremises[[#This Row],[Subcategory EN]],)</f>
        <v/>
      </c>
      <c r="E177" s="847" t="str">
        <f>DocPremises[[#This Row],[Category DE]]&amp;IF(LEN(DocPremises[[#This Row],[Subcategory DE]])&gt;0," 
" &amp;DocPremises[[#This Row],[Subcategory DE]],)</f>
        <v>Lieferant 
Longitude</v>
      </c>
      <c r="I177" s="6" t="s">
        <v>558</v>
      </c>
      <c r="J177" s="6" t="s">
        <v>2137</v>
      </c>
      <c r="K177" s="6" t="s">
        <v>2142</v>
      </c>
      <c r="L177" s="6">
        <v>1</v>
      </c>
    </row>
    <row r="178" spans="1:12" ht="38.25" hidden="1" outlineLevel="1">
      <c r="B178" s="465">
        <v>68</v>
      </c>
      <c r="C178" s="847" t="str">
        <f>DocPremises[[#This Row],[Category EN]]&amp;IF(LEN(DocPremises[[#This Row],[Subcategory EN]])&gt;0," 
" &amp;DocPremises[[#This Row],[Subcategory EN]],)</f>
        <v/>
      </c>
      <c r="E178" s="847" t="str">
        <f>DocPremises[[#This Row],[Category DE]]&amp;IF(LEN(DocPremises[[#This Row],[Subcategory DE]])&gt;0," 
" &amp;DocPremises[[#This Row],[Subcategory DE]],)</f>
        <v>Lieferant 
Entfernung zum nächsten Hafen</v>
      </c>
      <c r="I178" s="6" t="s">
        <v>558</v>
      </c>
      <c r="J178" s="6" t="s">
        <v>2138</v>
      </c>
      <c r="K178" s="6" t="s">
        <v>2134</v>
      </c>
      <c r="L178" s="6">
        <v>1</v>
      </c>
    </row>
    <row r="179" spans="1:12" ht="25.5" hidden="1" outlineLevel="1">
      <c r="B179" s="465">
        <v>70</v>
      </c>
      <c r="C179" s="847" t="str">
        <f>DocPremises[[#This Row],[Category EN]]&amp;IF(LEN(DocPremises[[#This Row],[Subcategory EN]])&gt;0," 
" &amp;DocPremises[[#This Row],[Subcategory EN]],)</f>
        <v/>
      </c>
      <c r="E179" s="847" t="str">
        <f>DocPremises[[#This Row],[Category DE]]&amp;IF(LEN(DocPremises[[#This Row],[Subcategory DE]])&gt;0," 
" &amp;DocPremises[[#This Row],[Subcategory DE]],)</f>
        <v>Lieferant 
Verpackung</v>
      </c>
      <c r="I179" s="6" t="s">
        <v>558</v>
      </c>
      <c r="J179" s="6" t="s">
        <v>2244</v>
      </c>
      <c r="K179" s="6" t="str">
        <f>Currency</f>
        <v>EUR</v>
      </c>
      <c r="L179" s="6">
        <v>1</v>
      </c>
    </row>
    <row r="180" spans="1:12" ht="25.5" hidden="1" outlineLevel="1">
      <c r="B180" s="465">
        <v>71</v>
      </c>
      <c r="C180" s="847" t="str">
        <f>DocPremises[[#This Row],[Category EN]]&amp;IF(LEN(DocPremises[[#This Row],[Subcategory EN]])&gt;0," 
" &amp;DocPremises[[#This Row],[Subcategory EN]],)</f>
        <v/>
      </c>
      <c r="E180" s="847" t="str">
        <f>DocPremises[[#This Row],[Category DE]]&amp;IF(LEN(DocPremises[[#This Row],[Subcategory DE]])&gt;0," 
" &amp;DocPremises[[#This Row],[Subcategory DE]],)</f>
        <v>Lieferant 
Transport</v>
      </c>
      <c r="I180" s="6" t="s">
        <v>558</v>
      </c>
      <c r="J180" s="6" t="s">
        <v>2245</v>
      </c>
      <c r="K180" s="6" t="str">
        <f>Currency</f>
        <v>EUR</v>
      </c>
      <c r="L180" s="6">
        <v>1</v>
      </c>
    </row>
    <row r="181" spans="1:12" ht="25.5" hidden="1" outlineLevel="1">
      <c r="B181" s="465">
        <v>72</v>
      </c>
      <c r="C181" s="847" t="str">
        <f>DocPremises[[#This Row],[Category EN]]&amp;IF(LEN(DocPremises[[#This Row],[Subcategory EN]])&gt;0," 
" &amp;DocPremises[[#This Row],[Subcategory EN]],)</f>
        <v/>
      </c>
      <c r="E181" s="847" t="str">
        <f>DocPremises[[#This Row],[Category DE]]&amp;IF(LEN(DocPremises[[#This Row],[Subcategory DE]])&gt;0," 
" &amp;DocPremises[[#This Row],[Subcategory DE]],)</f>
        <v>Lieferant 
Zoll</v>
      </c>
      <c r="I181" s="6" t="s">
        <v>558</v>
      </c>
      <c r="J181" s="6" t="s">
        <v>2246</v>
      </c>
      <c r="K181" s="6" t="str">
        <f>Currency</f>
        <v>EUR</v>
      </c>
      <c r="L181" s="6">
        <v>1</v>
      </c>
    </row>
    <row r="182" spans="1:12" ht="25.5" hidden="1" outlineLevel="1">
      <c r="B182" s="465">
        <v>73</v>
      </c>
      <c r="C182" s="847" t="str">
        <f>DocPremises[[#This Row],[Category EN]]&amp;IF(LEN(DocPremises[[#This Row],[Subcategory EN]])&gt;0," 
" &amp;DocPremises[[#This Row],[Subcategory EN]],)</f>
        <v/>
      </c>
      <c r="E182" s="847" t="str">
        <f>DocPremises[[#This Row],[Category DE]]&amp;IF(LEN(DocPremises[[#This Row],[Subcategory DE]])&gt;0," 
" &amp;DocPremises[[#This Row],[Subcategory DE]],)</f>
        <v>Lieferant 
Logistik</v>
      </c>
      <c r="I182" s="6" t="s">
        <v>558</v>
      </c>
      <c r="J182" s="6" t="s">
        <v>202</v>
      </c>
      <c r="K182" s="6" t="str">
        <f>Currency</f>
        <v>EUR</v>
      </c>
      <c r="L182" s="6">
        <v>1</v>
      </c>
    </row>
    <row r="183" spans="1:12" ht="38.25" hidden="1" outlineLevel="1">
      <c r="B183" s="6">
        <v>75</v>
      </c>
      <c r="C183" s="847" t="str">
        <f>DocPremises[[#This Row],[Category EN]]&amp;IF(LEN(DocPremises[[#This Row],[Subcategory EN]])&gt;0," 
" &amp;DocPremises[[#This Row],[Subcategory EN]],)</f>
        <v>Supplier 
Costumer lot size</v>
      </c>
      <c r="D183" s="449" t="s">
        <v>1500</v>
      </c>
      <c r="E183" s="847" t="str">
        <f>DocPremises[[#This Row],[Category DE]]&amp;IF(LEN(DocPremises[[#This Row],[Subcategory DE]])&gt;0," 
" &amp;DocPremises[[#This Row],[Subcategory DE]],)</f>
        <v>Lieferant 
Kundenlos</v>
      </c>
      <c r="F183" s="19" t="s">
        <v>1501</v>
      </c>
      <c r="G183" s="6" t="s">
        <v>597</v>
      </c>
      <c r="H183" s="6" t="s">
        <v>710</v>
      </c>
      <c r="I183" s="6" t="s">
        <v>558</v>
      </c>
      <c r="J183" s="6" t="s">
        <v>116</v>
      </c>
      <c r="K183" s="6"/>
      <c r="L183" s="6">
        <v>0</v>
      </c>
    </row>
    <row r="184" spans="1:12" ht="51" hidden="1" outlineLevel="1">
      <c r="B184" s="6">
        <v>76</v>
      </c>
      <c r="C184" s="847" t="str">
        <f>DocPremises[[#This Row],[Category EN]]&amp;IF(LEN(DocPremises[[#This Row],[Subcategory EN]])&gt;0," 
" &amp;DocPremises[[#This Row],[Subcategory EN]],)</f>
        <v>Supplier 
Customer cycle time</v>
      </c>
      <c r="D184" s="449" t="s">
        <v>1483</v>
      </c>
      <c r="E184" s="847" t="str">
        <f>DocPremises[[#This Row],[Category DE]]&amp;IF(LEN(DocPremises[[#This Row],[Subcategory DE]])&gt;0," 
" &amp;DocPremises[[#This Row],[Subcategory DE]],)</f>
        <v>Lieferant 
Kundentakt</v>
      </c>
      <c r="F184" s="19" t="s">
        <v>1482</v>
      </c>
      <c r="G184" s="6" t="s">
        <v>597</v>
      </c>
      <c r="H184" s="6" t="s">
        <v>1407</v>
      </c>
      <c r="I184" s="6" t="s">
        <v>558</v>
      </c>
      <c r="J184" s="6" t="s">
        <v>97</v>
      </c>
      <c r="K184" s="6" t="s">
        <v>93</v>
      </c>
      <c r="L184" s="6">
        <v>1</v>
      </c>
    </row>
    <row r="186" spans="1:12" collapsed="1">
      <c r="A186" s="458"/>
      <c r="B186" s="459" t="s">
        <v>58</v>
      </c>
    </row>
    <row r="187" spans="1:12" hidden="1" outlineLevel="1">
      <c r="A187" s="456"/>
      <c r="B187" s="456"/>
    </row>
    <row r="188" spans="1:12" ht="30" hidden="1" customHeight="1" outlineLevel="1">
      <c r="B188" s="6" t="s">
        <v>359</v>
      </c>
      <c r="C188" s="847" t="s">
        <v>360</v>
      </c>
      <c r="D188" s="449" t="s">
        <v>361</v>
      </c>
      <c r="E188" s="847" t="s">
        <v>362</v>
      </c>
      <c r="F188" s="19" t="s">
        <v>363</v>
      </c>
      <c r="G188" s="6" t="s">
        <v>367</v>
      </c>
      <c r="H188" s="6" t="s">
        <v>368</v>
      </c>
      <c r="I188" s="6" t="s">
        <v>366</v>
      </c>
      <c r="J188" s="6" t="s">
        <v>369</v>
      </c>
      <c r="K188" s="6" t="s">
        <v>720</v>
      </c>
      <c r="L188" s="6"/>
    </row>
    <row r="189" spans="1:12" hidden="1" outlineLevel="1">
      <c r="B189" s="6" t="s">
        <v>608</v>
      </c>
      <c r="C189" s="847" t="str">
        <f>DocMHR[[#This Row],[Category EN]]&amp;IF(LEN(DocMHR[[#This Row],[Subcategory EN]])&gt;0," 
" &amp;DocMHR[[#This Row],[Subcategory EN]],)</f>
        <v/>
      </c>
      <c r="E189" s="847" t="str">
        <f>DocMHR[[#This Row],[Category DE]]&amp;IF(LEN(DocMHR[[#This Row],[Subcategory DE]])&gt;0," 
" &amp;DocMHR[[#This Row],[Subcategory DE]],)</f>
        <v/>
      </c>
      <c r="K189" s="6">
        <v>1</v>
      </c>
      <c r="L189" s="6"/>
    </row>
    <row r="190" spans="1:12" ht="76.5" hidden="1" outlineLevel="1">
      <c r="B190" s="6" t="s">
        <v>2</v>
      </c>
      <c r="C190" s="847" t="str">
        <f>DocMHR[[#This Row],[Category EN]]&amp;IF(LEN(DocMHR[[#This Row],[Subcategory EN]])&gt;0," 
" &amp;DocMHR[[#This Row],[Subcategory EN]],)</f>
        <v>Machine Designation</v>
      </c>
      <c r="D190" s="449" t="s">
        <v>1696</v>
      </c>
      <c r="E190" s="847" t="str">
        <f>DocMHR[[#This Row],[Category DE]]&amp;IF(LEN(DocMHR[[#This Row],[Subcategory DE]])&gt;0," 
" &amp;DocMHR[[#This Row],[Subcategory DE]],)</f>
        <v>Maschinenbezeichnung</v>
      </c>
      <c r="F190" s="19" t="s">
        <v>1695</v>
      </c>
      <c r="G190" s="6" t="s">
        <v>609</v>
      </c>
      <c r="I190" s="6" t="s">
        <v>610</v>
      </c>
      <c r="K190" s="6">
        <v>1</v>
      </c>
      <c r="L190" s="6"/>
    </row>
    <row r="191" spans="1:12" ht="51" hidden="1" outlineLevel="1">
      <c r="B191" s="6" t="s">
        <v>1165</v>
      </c>
      <c r="C191" s="847" t="str">
        <f>DocMHR[[#This Row],[Category EN]]&amp;IF(LEN(DocMHR[[#This Row],[Subcategory EN]])&gt;0," 
" &amp;DocMHR[[#This Row],[Subcategory EN]],)</f>
        <v>Investment (in input currency)</v>
      </c>
      <c r="D191" s="449" t="s">
        <v>1713</v>
      </c>
      <c r="E191" s="847" t="str">
        <f>DocMHR[[#This Row],[Category DE]]&amp;IF(LEN(DocMHR[[#This Row],[Subcategory DE]])&gt;0," 
" &amp;DocMHR[[#This Row],[Subcategory DE]],)</f>
        <v>Invest (in Eingabewährung)</v>
      </c>
      <c r="F191" s="19" t="s">
        <v>1712</v>
      </c>
      <c r="G191" s="6" t="s">
        <v>1143</v>
      </c>
      <c r="I191" s="6" t="s">
        <v>1144</v>
      </c>
      <c r="K191" s="6">
        <v>1</v>
      </c>
      <c r="L191" s="6"/>
    </row>
    <row r="192" spans="1:12" hidden="1" outlineLevel="1">
      <c r="B192" s="6" t="s">
        <v>446</v>
      </c>
      <c r="C192" s="847" t="str">
        <f>DocMHR[[#This Row],[Category EN]]&amp;IF(LEN(DocMHR[[#This Row],[Subcategory EN]])&gt;0," 
" &amp;DocMHR[[#This Row],[Subcategory EN]],)</f>
        <v>Imputed depreciation</v>
      </c>
      <c r="D192" s="449" t="s">
        <v>612</v>
      </c>
      <c r="E192" s="847" t="str">
        <f>DocMHR[[#This Row],[Category DE]]&amp;IF(LEN(DocMHR[[#This Row],[Subcategory DE]])&gt;0," 
" &amp;DocMHR[[#This Row],[Subcategory DE]],)</f>
        <v>Kalk. AfA</v>
      </c>
      <c r="F192" s="19" t="s">
        <v>613</v>
      </c>
      <c r="G192" s="6" t="s">
        <v>614</v>
      </c>
      <c r="I192" s="6" t="s">
        <v>615</v>
      </c>
      <c r="K192" s="6">
        <v>1</v>
      </c>
      <c r="L192" s="6"/>
    </row>
    <row r="193" spans="2:12" hidden="1" outlineLevel="1">
      <c r="B193" s="6" t="s">
        <v>21</v>
      </c>
      <c r="C193" s="847" t="str">
        <f>DocMHR[[#This Row],[Category EN]]&amp;IF(LEN(DocMHR[[#This Row],[Subcategory EN]])&gt;0," 
" &amp;DocMHR[[#This Row],[Subcategory EN]],)</f>
        <v>Electricity</v>
      </c>
      <c r="D193" s="449" t="s">
        <v>1822</v>
      </c>
      <c r="E193" s="847" t="str">
        <f>DocMHR[[#This Row],[Category DE]]&amp;IF(LEN(DocMHR[[#This Row],[Subcategory DE]])&gt;0," 
" &amp;DocMHR[[#This Row],[Subcategory DE]],)</f>
        <v>Strom</v>
      </c>
      <c r="F193" s="19" t="s">
        <v>1820</v>
      </c>
      <c r="G193" s="6" t="s">
        <v>543</v>
      </c>
      <c r="I193" s="6" t="s">
        <v>21</v>
      </c>
      <c r="K193" s="6">
        <v>1</v>
      </c>
      <c r="L193" s="6"/>
    </row>
    <row r="194" spans="2:12" ht="63.75" hidden="1" outlineLevel="1">
      <c r="B194" s="6" t="s">
        <v>5</v>
      </c>
      <c r="C194" s="847" t="str">
        <f>DocMHR[[#This Row],[Category EN]]&amp;IF(LEN(DocMHR[[#This Row],[Subcategory EN]])&gt;0," 
" &amp;DocMHR[[#This Row],[Subcategory EN]],)</f>
        <v>Factor electricity</v>
      </c>
      <c r="D194" s="449" t="s">
        <v>1703</v>
      </c>
      <c r="E194" s="847" t="str">
        <f>DocMHR[[#This Row],[Category DE]]&amp;IF(LEN(DocMHR[[#This Row],[Subcategory DE]])&gt;0," 
" &amp;DocMHR[[#This Row],[Subcategory DE]],)</f>
        <v>Faktor Strom</v>
      </c>
      <c r="F194" s="19" t="s">
        <v>1702</v>
      </c>
      <c r="G194" s="6" t="s">
        <v>1129</v>
      </c>
      <c r="I194" s="6" t="s">
        <v>583</v>
      </c>
      <c r="K194" s="6">
        <v>1</v>
      </c>
      <c r="L194" s="6"/>
    </row>
    <row r="195" spans="2:12" hidden="1" outlineLevel="1">
      <c r="B195" s="6" t="s">
        <v>580</v>
      </c>
      <c r="C195" s="847" t="str">
        <f>DocMHR[[#This Row],[Category EN]]&amp;IF(LEN(DocMHR[[#This Row],[Subcategory EN]])&gt;0," 
" &amp;DocMHR[[#This Row],[Subcategory EN]],)</f>
        <v>Natural gas</v>
      </c>
      <c r="D195" s="449" t="s">
        <v>1823</v>
      </c>
      <c r="E195" s="847" t="str">
        <f>DocMHR[[#This Row],[Category DE]]&amp;IF(LEN(DocMHR[[#This Row],[Subcategory DE]])&gt;0," 
" &amp;DocMHR[[#This Row],[Subcategory DE]],)</f>
        <v>Erdgas</v>
      </c>
      <c r="F195" s="19" t="s">
        <v>1821</v>
      </c>
      <c r="G195" s="6" t="s">
        <v>1130</v>
      </c>
      <c r="I195" s="6" t="s">
        <v>587</v>
      </c>
      <c r="K195" s="6">
        <v>1</v>
      </c>
      <c r="L195" s="6"/>
    </row>
    <row r="196" spans="2:12" ht="63.75" hidden="1" outlineLevel="1">
      <c r="B196" s="6" t="s">
        <v>581</v>
      </c>
      <c r="C196" s="847" t="str">
        <f>DocMHR[[#This Row],[Category EN]]&amp;IF(LEN(DocMHR[[#This Row],[Subcategory EN]])&gt;0," 
" &amp;DocMHR[[#This Row],[Subcategory EN]],)</f>
        <v>Factor natural gas</v>
      </c>
      <c r="D196" s="449" t="s">
        <v>1705</v>
      </c>
      <c r="E196" s="847" t="str">
        <f>DocMHR[[#This Row],[Category DE]]&amp;IF(LEN(DocMHR[[#This Row],[Subcategory DE]])&gt;0," 
" &amp;DocMHR[[#This Row],[Subcategory DE]],)</f>
        <v>Faktor Erdgas</v>
      </c>
      <c r="F196" s="19" t="s">
        <v>1704</v>
      </c>
      <c r="G196" s="6" t="s">
        <v>1128</v>
      </c>
      <c r="I196" s="6" t="s">
        <v>586</v>
      </c>
      <c r="K196" s="6">
        <v>1</v>
      </c>
      <c r="L196" s="6"/>
    </row>
    <row r="197" spans="2:12" ht="25.5" hidden="1" outlineLevel="1">
      <c r="B197" s="6" t="s">
        <v>447</v>
      </c>
      <c r="C197" s="847" t="str">
        <f>DocMHR[[#This Row],[Category EN]]&amp;IF(LEN(DocMHR[[#This Row],[Subcategory EN]])&gt;0," 
" &amp;DocMHR[[#This Row],[Subcategory EN]],)</f>
        <v>Area</v>
      </c>
      <c r="D197" s="449" t="s">
        <v>1706</v>
      </c>
      <c r="E197" s="847" t="str">
        <f>DocMHR[[#This Row],[Category DE]]&amp;IF(LEN(DocMHR[[#This Row],[Subcategory DE]])&gt;0," 
" &amp;DocMHR[[#This Row],[Subcategory DE]],)</f>
        <v>Fläche</v>
      </c>
      <c r="F197" s="19" t="s">
        <v>1707</v>
      </c>
      <c r="G197" s="6" t="s">
        <v>616</v>
      </c>
      <c r="I197" s="6" t="s">
        <v>447</v>
      </c>
      <c r="K197" s="6">
        <v>1</v>
      </c>
      <c r="L197" s="6"/>
    </row>
    <row r="198" spans="2:12" ht="38.25" hidden="1" outlineLevel="1">
      <c r="B198" s="6" t="s">
        <v>448</v>
      </c>
      <c r="C198" s="847" t="str">
        <f>DocMHR[[#This Row],[Category EN]]&amp;IF(LEN(DocMHR[[#This Row],[Subcategory EN]])&gt;0," 
" &amp;DocMHR[[#This Row],[Subcategory EN]],)</f>
        <v>Consumables</v>
      </c>
      <c r="D198" s="449" t="s">
        <v>1711</v>
      </c>
      <c r="E198" s="847" t="str">
        <f>DocMHR[[#This Row],[Category DE]]&amp;IF(LEN(DocMHR[[#This Row],[Subcategory DE]])&gt;0," 
" &amp;DocMHR[[#This Row],[Subcategory DE]],)</f>
        <v>Verbrauchsmaterial</v>
      </c>
      <c r="F198" s="19" t="s">
        <v>1709</v>
      </c>
      <c r="G198" s="6" t="s">
        <v>617</v>
      </c>
      <c r="I198" s="6" t="s">
        <v>448</v>
      </c>
      <c r="K198" s="6">
        <v>1</v>
      </c>
      <c r="L198" s="6"/>
    </row>
    <row r="199" spans="2:12" ht="38.25" hidden="1" outlineLevel="1">
      <c r="B199" s="6" t="s">
        <v>449</v>
      </c>
      <c r="C199" s="847" t="str">
        <f>DocMHR[[#This Row],[Category EN]]&amp;IF(LEN(DocMHR[[#This Row],[Subcategory EN]])&gt;0," 
" &amp;DocMHR[[#This Row],[Subcategory EN]],)</f>
        <v>Maintenance</v>
      </c>
      <c r="D199" s="449" t="s">
        <v>1710</v>
      </c>
      <c r="E199" s="847" t="str">
        <f>DocMHR[[#This Row],[Category DE]]&amp;IF(LEN(DocMHR[[#This Row],[Subcategory DE]])&gt;0," 
" &amp;DocMHR[[#This Row],[Subcategory DE]],)</f>
        <v>Instandhaltung</v>
      </c>
      <c r="F199" s="19" t="s">
        <v>1708</v>
      </c>
      <c r="G199" s="6" t="s">
        <v>618</v>
      </c>
      <c r="I199" s="6" t="s">
        <v>449</v>
      </c>
      <c r="K199" s="6">
        <v>1</v>
      </c>
      <c r="L199" s="6"/>
    </row>
    <row r="200" spans="2:12" ht="89.25" hidden="1" outlineLevel="1">
      <c r="B200" s="6" t="s">
        <v>576</v>
      </c>
      <c r="C200" s="847" t="str">
        <f>DocMHR[[#This Row],[Category EN]]&amp;IF(LEN(DocMHR[[#This Row],[Subcategory EN]])&gt;0," 
" &amp;DocMHR[[#This Row],[Subcategory EN]],)</f>
        <v>Indirect personnel</v>
      </c>
      <c r="D200" s="449" t="s">
        <v>1699</v>
      </c>
      <c r="E200" s="847" t="str">
        <f>DocMHR[[#This Row],[Category DE]]&amp;IF(LEN(DocMHR[[#This Row],[Subcategory DE]])&gt;0," 
" &amp;DocMHR[[#This Row],[Subcategory DE]],)</f>
        <v>Indirektes Personal</v>
      </c>
      <c r="F200" s="19" t="s">
        <v>1694</v>
      </c>
      <c r="G200" s="6" t="s">
        <v>620</v>
      </c>
      <c r="I200" s="6" t="s">
        <v>621</v>
      </c>
      <c r="K200" s="6">
        <v>1</v>
      </c>
      <c r="L200" s="6"/>
    </row>
    <row r="201" spans="2:12" ht="51" hidden="1" outlineLevel="1">
      <c r="B201" s="6" t="s">
        <v>577</v>
      </c>
      <c r="C201" s="847" t="str">
        <f>DocMHR[[#This Row],[Category EN]]&amp;IF(LEN(DocMHR[[#This Row],[Subcategory EN]])&gt;0," 
" &amp;DocMHR[[#This Row],[Subcategory EN]],)</f>
        <v>Indirect personnel</v>
      </c>
      <c r="D201" s="449" t="s">
        <v>1700</v>
      </c>
      <c r="E201" s="847" t="str">
        <f>DocMHR[[#This Row],[Category DE]]&amp;IF(LEN(DocMHR[[#This Row],[Subcategory DE]])&gt;0," 
" &amp;DocMHR[[#This Row],[Subcategory DE]],)</f>
        <v>Indirektes Personal</v>
      </c>
      <c r="F201" s="19" t="s">
        <v>619</v>
      </c>
      <c r="G201" s="6" t="s">
        <v>620</v>
      </c>
      <c r="I201" s="6" t="s">
        <v>621</v>
      </c>
      <c r="K201" s="6">
        <v>1</v>
      </c>
      <c r="L201" s="6"/>
    </row>
    <row r="202" spans="2:12" ht="38.25" hidden="1" outlineLevel="1">
      <c r="B202" s="6" t="s">
        <v>450</v>
      </c>
      <c r="C202" s="847" t="str">
        <f>DocMHR[[#This Row],[Category EN]]&amp;IF(LEN(DocMHR[[#This Row],[Subcategory EN]])&gt;0," 
" &amp;DocMHR[[#This Row],[Subcategory EN]],)</f>
        <v>General area</v>
      </c>
      <c r="D202" s="449" t="s">
        <v>1689</v>
      </c>
      <c r="E202" s="847" t="str">
        <f>DocMHR[[#This Row],[Category DE]]&amp;IF(LEN(DocMHR[[#This Row],[Subcategory DE]])&gt;0," 
" &amp;DocMHR[[#This Row],[Subcategory DE]],)</f>
        <v>Allgemeine Fläche</v>
      </c>
      <c r="F202" s="19" t="s">
        <v>1688</v>
      </c>
      <c r="G202" s="6" t="s">
        <v>1142</v>
      </c>
      <c r="I202" s="6" t="s">
        <v>450</v>
      </c>
      <c r="K202" s="6">
        <v>1</v>
      </c>
      <c r="L202" s="6"/>
    </row>
    <row r="203" spans="2:12" ht="25.5" hidden="1" outlineLevel="1">
      <c r="B203" s="6" t="s">
        <v>451</v>
      </c>
      <c r="C203" s="847" t="str">
        <f>DocMHR[[#This Row],[Category EN]]&amp;IF(LEN(DocMHR[[#This Row],[Subcategory EN]])&gt;0," 
" &amp;DocMHR[[#This Row],[Subcategory EN]],)</f>
        <v>Auxilliary and test equipment</v>
      </c>
      <c r="D203" s="449" t="s">
        <v>1690</v>
      </c>
      <c r="E203" s="847" t="str">
        <f>DocMHR[[#This Row],[Category DE]]&amp;IF(LEN(DocMHR[[#This Row],[Subcategory DE]])&gt;0," 
" &amp;DocMHR[[#This Row],[Subcategory DE]],)</f>
        <v>Hilfs- und Prüfgeräte</v>
      </c>
      <c r="F203" s="19" t="s">
        <v>1687</v>
      </c>
      <c r="G203" s="6" t="s">
        <v>1685</v>
      </c>
      <c r="I203" s="6" t="s">
        <v>1686</v>
      </c>
      <c r="K203" s="6">
        <v>1</v>
      </c>
      <c r="L203" s="6"/>
    </row>
    <row r="204" spans="2:12" ht="38.25" hidden="1" outlineLevel="1">
      <c r="B204" s="6" t="s">
        <v>452</v>
      </c>
      <c r="C204" s="847" t="str">
        <f>DocMHR[[#This Row],[Category EN]]&amp;IF(LEN(DocMHR[[#This Row],[Subcategory EN]])&gt;0," 
" &amp;DocMHR[[#This Row],[Subcategory EN]],)</f>
        <v>Energy for aux. Equipment</v>
      </c>
      <c r="D204" s="449" t="s">
        <v>1693</v>
      </c>
      <c r="E204" s="847" t="str">
        <f>DocMHR[[#This Row],[Category DE]]&amp;IF(LEN(DocMHR[[#This Row],[Subcategory DE]])&gt;0," 
" &amp;DocMHR[[#This Row],[Subcategory DE]],)</f>
        <v>Allg. Energie, Leistung Hilfs- und Prüfgeräte</v>
      </c>
      <c r="F204" s="19" t="s">
        <v>1692</v>
      </c>
      <c r="G204" s="6" t="s">
        <v>622</v>
      </c>
      <c r="I204" s="6" t="s">
        <v>1691</v>
      </c>
      <c r="K204" s="6">
        <v>1</v>
      </c>
      <c r="L204" s="6"/>
    </row>
    <row r="205" spans="2:12" ht="25.5" hidden="1" outlineLevel="1">
      <c r="B205" s="6" t="s">
        <v>1682</v>
      </c>
      <c r="C205" s="847" t="str">
        <f>DocMHR[[#This Row],[Category EN]]&amp;IF(LEN(DocMHR[[#This Row],[Subcategory EN]])&gt;0," 
" &amp;DocMHR[[#This Row],[Subcategory EN]],)</f>
        <v>General operation costs</v>
      </c>
      <c r="D205" s="449" t="s">
        <v>1684</v>
      </c>
      <c r="E205" s="847" t="str">
        <f>DocMHR[[#This Row],[Category DE]]&amp;IF(LEN(DocMHR[[#This Row],[Subcategory DE]])&gt;0," 
" &amp;DocMHR[[#This Row],[Subcategory DE]],)</f>
        <v>Allgemeine Betriebskosten</v>
      </c>
      <c r="F205" s="19" t="s">
        <v>1683</v>
      </c>
      <c r="G205" s="6" t="s">
        <v>1680</v>
      </c>
      <c r="I205" s="6" t="s">
        <v>1681</v>
      </c>
      <c r="K205" s="6">
        <v>1</v>
      </c>
      <c r="L205" s="6"/>
    </row>
    <row r="206" spans="2:12" hidden="1" outlineLevel="1">
      <c r="B206" s="6" t="s">
        <v>36</v>
      </c>
      <c r="C206" s="847" t="str">
        <f>DocMHR[[#This Row],[Category EN]]&amp;IF(LEN(DocMHR[[#This Row],[Subcategory EN]])&gt;0," 
" &amp;DocMHR[[#This Row],[Subcategory EN]],)</f>
        <v/>
      </c>
      <c r="E206" s="847" t="str">
        <f>DocMHR[[#This Row],[Category DE]]&amp;IF(LEN(DocMHR[[#This Row],[Subcategory DE]])&gt;0," 
" &amp;DocMHR[[#This Row],[Subcategory DE]],)</f>
        <v/>
      </c>
      <c r="K206" s="6">
        <v>1</v>
      </c>
      <c r="L206" s="6"/>
    </row>
    <row r="207" spans="2:12" hidden="1" outlineLevel="1">
      <c r="B207" s="6" t="s">
        <v>36</v>
      </c>
      <c r="C207" s="847" t="str">
        <f>DocMHR[[#This Row],[Category EN]]&amp;IF(LEN(DocMHR[[#This Row],[Subcategory EN]])&gt;0," 
" &amp;DocMHR[[#This Row],[Subcategory EN]],)</f>
        <v/>
      </c>
      <c r="E207" s="847" t="str">
        <f>DocMHR[[#This Row],[Category DE]]&amp;IF(LEN(DocMHR[[#This Row],[Subcategory DE]])&gt;0," 
" &amp;DocMHR[[#This Row],[Subcategory DE]],)</f>
        <v/>
      </c>
      <c r="K207" s="6">
        <v>1</v>
      </c>
      <c r="L207" s="6"/>
    </row>
    <row r="208" spans="2:12" hidden="1" outlineLevel="1">
      <c r="B208" s="6" t="s">
        <v>36</v>
      </c>
      <c r="C208" s="847" t="str">
        <f>DocMHR[[#This Row],[Category EN]]&amp;IF(LEN(DocMHR[[#This Row],[Subcategory EN]])&gt;0," 
" &amp;DocMHR[[#This Row],[Subcategory EN]],)</f>
        <v/>
      </c>
      <c r="E208" s="847" t="str">
        <f>DocMHR[[#This Row],[Category DE]]&amp;IF(LEN(DocMHR[[#This Row],[Subcategory DE]])&gt;0," 
" &amp;DocMHR[[#This Row],[Subcategory DE]],)</f>
        <v/>
      </c>
      <c r="K208" s="6">
        <v>1</v>
      </c>
      <c r="L208" s="6"/>
    </row>
    <row r="209" spans="2:12" ht="38.25" hidden="1" outlineLevel="1">
      <c r="B209" s="6" t="s">
        <v>438</v>
      </c>
      <c r="C209" s="847" t="str">
        <f>DocMHR[[#This Row],[Category EN]]&amp;IF(LEN(DocMHR[[#This Row],[Subcategory EN]])&gt;0," 
" &amp;DocMHR[[#This Row],[Subcategory EN]],)</f>
        <v>Investment</v>
      </c>
      <c r="D209" s="449" t="s">
        <v>1136</v>
      </c>
      <c r="E209" s="847" t="str">
        <f>DocMHR[[#This Row],[Category DE]]&amp;IF(LEN(DocMHR[[#This Row],[Subcategory DE]])&gt;0," 
" &amp;DocMHR[[#This Row],[Subcategory DE]],)</f>
        <v>Invest</v>
      </c>
      <c r="F209" s="19" t="s">
        <v>1648</v>
      </c>
      <c r="G209" s="6" t="s">
        <v>611</v>
      </c>
      <c r="I209" s="6" t="s">
        <v>438</v>
      </c>
      <c r="K209" s="6">
        <v>1</v>
      </c>
      <c r="L209" s="6"/>
    </row>
    <row r="210" spans="2:12" ht="38.25" hidden="1" outlineLevel="1">
      <c r="B210" s="6" t="s">
        <v>453</v>
      </c>
      <c r="C210" s="847" t="str">
        <f>DocMHR[[#This Row],[Category EN]]&amp;IF(LEN(DocMHR[[#This Row],[Subcategory EN]])&gt;0," 
" &amp;DocMHR[[#This Row],[Subcategory EN]],)</f>
        <v>Currenct average value</v>
      </c>
      <c r="D210" s="449" t="s">
        <v>1135</v>
      </c>
      <c r="E210" s="847" t="str">
        <f>DocMHR[[#This Row],[Category DE]]&amp;IF(LEN(DocMHR[[#This Row],[Subcategory DE]])&gt;0," 
" &amp;DocMHR[[#This Row],[Subcategory DE]],)</f>
        <v>Mittlerer Stromwert</v>
      </c>
      <c r="F210" s="19" t="s">
        <v>1647</v>
      </c>
      <c r="G210" s="6" t="s">
        <v>1132</v>
      </c>
      <c r="I210" s="6" t="s">
        <v>1131</v>
      </c>
      <c r="K210" s="6">
        <v>1</v>
      </c>
      <c r="L210" s="6"/>
    </row>
    <row r="211" spans="2:12" ht="38.25" hidden="1" outlineLevel="1">
      <c r="B211" s="6" t="s">
        <v>582</v>
      </c>
      <c r="C211" s="847" t="str">
        <f>DocMHR[[#This Row],[Category EN]]&amp;IF(LEN(DocMHR[[#This Row],[Subcategory EN]])&gt;0," 
" &amp;DocMHR[[#This Row],[Subcategory EN]],)</f>
        <v>Natural gas average value</v>
      </c>
      <c r="D211" s="449" t="s">
        <v>1137</v>
      </c>
      <c r="E211" s="847" t="str">
        <f>DocMHR[[#This Row],[Category DE]]&amp;IF(LEN(DocMHR[[#This Row],[Subcategory DE]])&gt;0," 
" &amp;DocMHR[[#This Row],[Subcategory DE]],)</f>
        <v>Mittlerer Erdgaswert</v>
      </c>
      <c r="F211" s="19" t="s">
        <v>1646</v>
      </c>
      <c r="G211" s="6" t="s">
        <v>1133</v>
      </c>
      <c r="I211" s="6" t="s">
        <v>1134</v>
      </c>
      <c r="K211" s="6">
        <v>1</v>
      </c>
      <c r="L211" s="6"/>
    </row>
    <row r="212" spans="2:12" ht="51" hidden="1" outlineLevel="1">
      <c r="B212" s="6" t="s">
        <v>1148</v>
      </c>
      <c r="C212" s="847" t="str">
        <f>DocMHR[[#This Row],[Category EN]]&amp;IF(LEN(DocMHR[[#This Row],[Subcategory EN]])&gt;0," 
" &amp;DocMHR[[#This Row],[Subcategory EN]],)</f>
        <v>Shift model</v>
      </c>
      <c r="D212" s="449" t="s">
        <v>2432</v>
      </c>
      <c r="E212" s="847" t="str">
        <f>DocMHR[[#This Row],[Category DE]]&amp;IF(LEN(DocMHR[[#This Row],[Subcategory DE]])&gt;0," 
" &amp;DocMHR[[#This Row],[Subcategory DE]],)</f>
        <v>Schichtmodell</v>
      </c>
      <c r="F212" s="19" t="s">
        <v>2431</v>
      </c>
      <c r="G212" s="6" t="s">
        <v>1580</v>
      </c>
      <c r="I212" s="6" t="s">
        <v>1148</v>
      </c>
      <c r="K212" s="6">
        <v>1</v>
      </c>
      <c r="L212" s="6"/>
    </row>
    <row r="213" spans="2:12" ht="25.5" hidden="1" outlineLevel="1">
      <c r="B213" s="6" t="s">
        <v>117</v>
      </c>
      <c r="C213" s="847" t="str">
        <f>DocMHR[[#This Row],[Category EN]]&amp;IF(LEN(DocMHR[[#This Row],[Subcategory EN]])&gt;0," 
" &amp;DocMHR[[#This Row],[Subcategory EN]],)</f>
        <v>Setup Time</v>
      </c>
      <c r="D213" s="449" t="s">
        <v>1563</v>
      </c>
      <c r="E213" s="847" t="str">
        <f>DocMHR[[#This Row],[Category DE]]&amp;IF(LEN(DocMHR[[#This Row],[Subcategory DE]])&gt;0," 
" &amp;DocMHR[[#This Row],[Subcategory DE]],)</f>
        <v>Zeit Rüsten</v>
      </c>
      <c r="F213" s="19" t="s">
        <v>1139</v>
      </c>
      <c r="G213" s="6" t="s">
        <v>565</v>
      </c>
      <c r="I213" s="6" t="s">
        <v>117</v>
      </c>
      <c r="K213" s="6">
        <v>1</v>
      </c>
      <c r="L213" s="6"/>
    </row>
    <row r="214" spans="2:12" hidden="1" outlineLevel="1">
      <c r="B214" s="6" t="s">
        <v>118</v>
      </c>
      <c r="C214" s="847" t="str">
        <f>DocMHR[[#This Row],[Category EN]]&amp;IF(LEN(DocMHR[[#This Row],[Subcategory EN]])&gt;0," 
" &amp;DocMHR[[#This Row],[Subcategory EN]],)</f>
        <v>Setup workers</v>
      </c>
      <c r="D214" s="449" t="s">
        <v>1564</v>
      </c>
      <c r="E214" s="847" t="str">
        <f>DocMHR[[#This Row],[Category DE]]&amp;IF(LEN(DocMHR[[#This Row],[Subcategory DE]])&gt;0," 
" &amp;DocMHR[[#This Row],[Subcategory DE]],)</f>
        <v>MA Rüsten</v>
      </c>
      <c r="F214" s="19" t="s">
        <v>1140</v>
      </c>
      <c r="G214" s="6" t="s">
        <v>623</v>
      </c>
      <c r="I214" s="6" t="s">
        <v>118</v>
      </c>
      <c r="K214" s="6">
        <v>1</v>
      </c>
      <c r="L214" s="6"/>
    </row>
    <row r="215" spans="2:12" hidden="1" outlineLevel="1">
      <c r="B215" s="6" t="s">
        <v>180</v>
      </c>
      <c r="C215" s="847" t="str">
        <f>DocMHR[[#This Row],[Category EN]]&amp;IF(LEN(DocMHR[[#This Row],[Subcategory EN]])&gt;0," 
" &amp;DocMHR[[#This Row],[Subcategory EN]],)</f>
        <v>Number of Workers</v>
      </c>
      <c r="D215" s="449" t="s">
        <v>1565</v>
      </c>
      <c r="E215" s="847" t="str">
        <f>DocMHR[[#This Row],[Category DE]]&amp;IF(LEN(DocMHR[[#This Row],[Subcategory DE]])&gt;0," 
" &amp;DocMHR[[#This Row],[Subcategory DE]],)</f>
        <v>Anzahl MA</v>
      </c>
      <c r="F215" s="19" t="s">
        <v>1145</v>
      </c>
      <c r="G215" s="6" t="s">
        <v>567</v>
      </c>
      <c r="I215" s="6" t="s">
        <v>180</v>
      </c>
      <c r="K215" s="6">
        <v>1</v>
      </c>
      <c r="L215" s="6"/>
    </row>
    <row r="216" spans="2:12" hidden="1" outlineLevel="1">
      <c r="B216" s="6" t="s">
        <v>181</v>
      </c>
      <c r="C216" s="847" t="str">
        <f>DocMHR[[#This Row],[Category EN]]&amp;IF(LEN(DocMHR[[#This Row],[Subcategory EN]])&gt;0," 
" &amp;DocMHR[[#This Row],[Subcategory EN]],)</f>
        <v>Worker Qualification</v>
      </c>
      <c r="D216" s="449" t="s">
        <v>1566</v>
      </c>
      <c r="E216" s="847" t="str">
        <f>DocMHR[[#This Row],[Category DE]]&amp;IF(LEN(DocMHR[[#This Row],[Subcategory DE]])&gt;0," 
" &amp;DocMHR[[#This Row],[Subcategory DE]],)</f>
        <v>Qualifikation MA</v>
      </c>
      <c r="F216" s="19" t="s">
        <v>1146</v>
      </c>
      <c r="G216" s="6" t="s">
        <v>568</v>
      </c>
      <c r="I216" s="6" t="s">
        <v>181</v>
      </c>
      <c r="K216" s="6">
        <v>1</v>
      </c>
      <c r="L216" s="6"/>
    </row>
    <row r="217" spans="2:12" ht="114.75" hidden="1" outlineLevel="1">
      <c r="B217" s="6" t="s">
        <v>2435</v>
      </c>
      <c r="C217" s="847" t="str">
        <f>DocMHR[[#This Row],[Category EN]]&amp;IF(LEN(DocMHR[[#This Row],[Subcategory EN]])&gt;0," 
" &amp;DocMHR[[#This Row],[Subcategory EN]],)</f>
        <v>Product-specific machine</v>
      </c>
      <c r="D217" s="449" t="s">
        <v>2452</v>
      </c>
      <c r="E217" s="847" t="str">
        <f>DocMHR[[#This Row],[Category DE]]&amp;IF(LEN(DocMHR[[#This Row],[Subcategory DE]])&gt;0," 
" &amp;DocMHR[[#This Row],[Subcategory DE]],)</f>
        <v>Produktspezifische Maschine</v>
      </c>
      <c r="F217" s="19" t="s">
        <v>2451</v>
      </c>
      <c r="G217" s="6" t="s">
        <v>2440</v>
      </c>
      <c r="I217" s="6" t="s">
        <v>2434</v>
      </c>
      <c r="K217" s="6">
        <v>1</v>
      </c>
      <c r="L217" s="6"/>
    </row>
    <row r="218" spans="2:12" ht="51" hidden="1" outlineLevel="1">
      <c r="B218" s="6" t="s">
        <v>1118</v>
      </c>
      <c r="C218" s="847" t="str">
        <f>DocMHR[[#This Row],[Category EN]]&amp;IF(LEN(DocMHR[[#This Row],[Subcategory EN]])&gt;0," 
" &amp;DocMHR[[#This Row],[Subcategory EN]],)</f>
        <v>Speical equipment</v>
      </c>
      <c r="D218" s="449" t="s">
        <v>2439</v>
      </c>
      <c r="E218" s="847" t="str">
        <f>DocMHR[[#This Row],[Category DE]]&amp;IF(LEN(DocMHR[[#This Row],[Subcategory DE]])&gt;0," 
" &amp;DocMHR[[#This Row],[Subcategory DE]],)</f>
        <v>Spezialbetriebsmittel</v>
      </c>
      <c r="F218" s="19" t="s">
        <v>2438</v>
      </c>
      <c r="G218" s="6" t="s">
        <v>1545</v>
      </c>
      <c r="I218" s="6" t="s">
        <v>1544</v>
      </c>
      <c r="K218" s="6">
        <v>1</v>
      </c>
      <c r="L218" s="6"/>
    </row>
    <row r="219" spans="2:12" hidden="1" outlineLevel="1">
      <c r="B219" s="6" t="s">
        <v>1120</v>
      </c>
      <c r="C219" s="847" t="str">
        <f>DocMHR[[#This Row],[Category EN]]&amp;IF(LEN(DocMHR[[#This Row],[Subcategory EN]])&gt;0," 
" &amp;DocMHR[[#This Row],[Subcategory EN]],)</f>
        <v>ID</v>
      </c>
      <c r="D219" s="449" t="s">
        <v>1567</v>
      </c>
      <c r="E219" s="847" t="str">
        <f>DocMHR[[#This Row],[Category DE]]&amp;IF(LEN(DocMHR[[#This Row],[Subcategory DE]])&gt;0," 
" &amp;DocMHR[[#This Row],[Subcategory DE]],)</f>
        <v>ID</v>
      </c>
      <c r="F219" s="19" t="s">
        <v>1141</v>
      </c>
      <c r="G219" s="6" t="s">
        <v>148</v>
      </c>
      <c r="I219" s="6" t="s">
        <v>148</v>
      </c>
      <c r="K219" s="6">
        <v>1</v>
      </c>
      <c r="L219" s="6"/>
    </row>
    <row r="220" spans="2:12" ht="25.5" hidden="1" outlineLevel="1">
      <c r="B220" s="6" t="s">
        <v>1119</v>
      </c>
      <c r="C220" s="847" t="str">
        <f>DocMHR[[#This Row],[Category EN]]&amp;IF(LEN(DocMHR[[#This Row],[Subcategory EN]])&gt;0," 
" &amp;DocMHR[[#This Row],[Subcategory EN]],)</f>
        <v>Associated tool</v>
      </c>
      <c r="D220" s="449" t="s">
        <v>1569</v>
      </c>
      <c r="E220" s="847" t="str">
        <f>DocMHR[[#This Row],[Category DE]]&amp;IF(LEN(DocMHR[[#This Row],[Subcategory DE]])&gt;0," 
" &amp;DocMHR[[#This Row],[Subcategory DE]],)</f>
        <v>Zugehöriger Schnellrecher</v>
      </c>
      <c r="F220" s="19" t="s">
        <v>1546</v>
      </c>
      <c r="G220" s="6" t="s">
        <v>1568</v>
      </c>
      <c r="I220" s="6" t="s">
        <v>1138</v>
      </c>
      <c r="K220" s="6">
        <v>1</v>
      </c>
      <c r="L220" s="6"/>
    </row>
    <row r="221" spans="2:12" ht="229.5" hidden="1" outlineLevel="1">
      <c r="B221" s="6" t="s">
        <v>2311</v>
      </c>
      <c r="C221" s="847" t="str">
        <f>DocMHR[[#This Row],[Category EN]]&amp;IF(LEN(DocMHR[[#This Row],[Subcategory EN]])&gt;0," 
" &amp;DocMHR[[#This Row],[Subcategory EN]],)</f>
        <v>Corresponding TEC ID</v>
      </c>
      <c r="D221" s="449" t="s">
        <v>2348</v>
      </c>
      <c r="E221" s="847" t="str">
        <f>DocMHR[[#This Row],[Category DE]]&amp;IF(LEN(DocMHR[[#This Row],[Subcategory DE]])&gt;0," 
" &amp;DocMHR[[#This Row],[Subcategory DE]],)</f>
        <v>Zugehörige TEC ID</v>
      </c>
      <c r="F221" s="19" t="s">
        <v>2347</v>
      </c>
      <c r="G221" s="6" t="s">
        <v>2314</v>
      </c>
      <c r="I221" s="6" t="s">
        <v>2313</v>
      </c>
      <c r="K221" s="6"/>
      <c r="L221" s="6"/>
    </row>
    <row r="222" spans="2:12" hidden="1" outlineLevel="1">
      <c r="B222" s="6" t="s">
        <v>79</v>
      </c>
      <c r="C222" s="847" t="str">
        <f>DocMHR[[#This Row],[Category EN]]&amp;IF(LEN(DocMHR[[#This Row],[Subcategory EN]])&gt;0," 
" &amp;DocMHR[[#This Row],[Subcategory EN]],)</f>
        <v>Usage</v>
      </c>
      <c r="D222" s="449" t="s">
        <v>1570</v>
      </c>
      <c r="E222" s="847" t="str">
        <f>DocMHR[[#This Row],[Category DE]]&amp;IF(LEN(DocMHR[[#This Row],[Subcategory DE]])&gt;0," 
" &amp;DocMHR[[#This Row],[Subcategory DE]],)</f>
        <v>Verwendung</v>
      </c>
      <c r="F222" s="19" t="s">
        <v>1548</v>
      </c>
      <c r="G222" s="6" t="s">
        <v>1576</v>
      </c>
      <c r="I222" s="6" t="s">
        <v>1147</v>
      </c>
      <c r="K222" s="6">
        <v>1</v>
      </c>
      <c r="L222" s="6"/>
    </row>
    <row r="223" spans="2:12" ht="51" hidden="1" outlineLevel="1">
      <c r="B223" s="6" t="s">
        <v>917</v>
      </c>
      <c r="C223" s="847" t="str">
        <f>DocMHR[[#This Row],[Category EN]]&amp;IF(LEN(DocMHR[[#This Row],[Subcategory EN]])&gt;0," 
" &amp;DocMHR[[#This Row],[Subcategory EN]],)</f>
        <v>Data status</v>
      </c>
      <c r="D223" s="449" t="s">
        <v>1571</v>
      </c>
      <c r="E223" s="847" t="str">
        <f>DocMHR[[#This Row],[Category DE]]&amp;IF(LEN(DocMHR[[#This Row],[Subcategory DE]])&gt;0," 
" &amp;DocMHR[[#This Row],[Subcategory DE]],)</f>
        <v>Datenstand</v>
      </c>
      <c r="F223" s="19" t="s">
        <v>1547</v>
      </c>
      <c r="G223" s="6" t="s">
        <v>1577</v>
      </c>
      <c r="I223" s="6" t="s">
        <v>917</v>
      </c>
      <c r="K223" s="6">
        <v>1</v>
      </c>
      <c r="L223" s="6"/>
    </row>
    <row r="224" spans="2:12" ht="25.5" hidden="1" outlineLevel="1">
      <c r="B224" s="6" t="s">
        <v>918</v>
      </c>
      <c r="C224" s="847" t="str">
        <f>DocMHR[[#This Row],[Category EN]]&amp;IF(LEN(DocMHR[[#This Row],[Subcategory EN]])&gt;0," 
" &amp;DocMHR[[#This Row],[Subcategory EN]],)</f>
        <v>Data origin</v>
      </c>
      <c r="D224" s="449" t="s">
        <v>1572</v>
      </c>
      <c r="E224" s="847" t="str">
        <f>DocMHR[[#This Row],[Category DE]]&amp;IF(LEN(DocMHR[[#This Row],[Subcategory DE]])&gt;0," 
" &amp;DocMHR[[#This Row],[Subcategory DE]],)</f>
        <v>Datenherkunft</v>
      </c>
      <c r="F224" s="19" t="s">
        <v>1550</v>
      </c>
      <c r="G224" s="6" t="s">
        <v>1578</v>
      </c>
      <c r="I224" s="6" t="s">
        <v>1549</v>
      </c>
      <c r="K224" s="6">
        <v>0</v>
      </c>
      <c r="L224" s="6"/>
    </row>
    <row r="225" spans="1:12" hidden="1" outlineLevel="1">
      <c r="B225" s="6" t="s">
        <v>916</v>
      </c>
      <c r="C225" s="847" t="str">
        <f>DocMHR[[#This Row],[Category EN]]&amp;IF(LEN(DocMHR[[#This Row],[Subcategory EN]])&gt;0," 
" &amp;DocMHR[[#This Row],[Subcategory EN]],)</f>
        <v/>
      </c>
      <c r="E225" s="847" t="str">
        <f>DocMHR[[#This Row],[Category DE]]&amp;IF(LEN(DocMHR[[#This Row],[Subcategory DE]])&gt;0," 
" &amp;DocMHR[[#This Row],[Subcategory DE]],)</f>
        <v/>
      </c>
      <c r="K225" s="6">
        <v>0</v>
      </c>
      <c r="L225" s="6"/>
    </row>
    <row r="226" spans="1:12" ht="38.25" hidden="1" outlineLevel="1">
      <c r="B226" s="6" t="s">
        <v>39</v>
      </c>
      <c r="C226" s="847" t="str">
        <f>DocMHR[[#This Row],[Category EN]]&amp;IF(LEN(DocMHR[[#This Row],[Subcategory EN]])&gt;0," 
" &amp;DocMHR[[#This Row],[Subcategory EN]],)</f>
        <v>Supplier-specific 
Machine hourly rate (MHR)</v>
      </c>
      <c r="D226" s="449" t="s">
        <v>1573</v>
      </c>
      <c r="E226" s="847" t="str">
        <f>DocMHR[[#This Row],[Category DE]]&amp;IF(LEN(DocMHR[[#This Row],[Subcategory DE]])&gt;0," 
" &amp;DocMHR[[#This Row],[Subcategory DE]],)</f>
        <v>Lieferantenspezifisch 
Maschinenstundensatz (MSS)</v>
      </c>
      <c r="F226" s="19" t="s">
        <v>1554</v>
      </c>
      <c r="G226" s="6" t="s">
        <v>1637</v>
      </c>
      <c r="H226" s="6" t="s">
        <v>1575</v>
      </c>
      <c r="I226" s="6" t="s">
        <v>1619</v>
      </c>
      <c r="J226" s="6" t="s">
        <v>1551</v>
      </c>
      <c r="K226" s="6">
        <v>1</v>
      </c>
      <c r="L226" s="6"/>
    </row>
    <row r="227" spans="1:12" ht="38.25" hidden="1" outlineLevel="1">
      <c r="B227" s="6" t="s">
        <v>539</v>
      </c>
      <c r="C227" s="847" t="str">
        <f>DocMHR[[#This Row],[Category EN]]&amp;IF(LEN(DocMHR[[#This Row],[Subcategory EN]])&gt;0," 
" &amp;DocMHR[[#This Row],[Subcategory EN]],)</f>
        <v>Supplier-specific 
Utilisation</v>
      </c>
      <c r="D227" s="449" t="s">
        <v>1574</v>
      </c>
      <c r="E227" s="847" t="str">
        <f>DocMHR[[#This Row],[Category DE]]&amp;IF(LEN(DocMHR[[#This Row],[Subcategory DE]])&gt;0," 
" &amp;DocMHR[[#This Row],[Subcategory DE]],)</f>
        <v>Lieferantenspezifisch 
Auslastung</v>
      </c>
      <c r="F227" s="19" t="s">
        <v>1552</v>
      </c>
      <c r="G227" s="6" t="s">
        <v>1637</v>
      </c>
      <c r="H227" s="6" t="s">
        <v>540</v>
      </c>
      <c r="I227" s="6" t="s">
        <v>1619</v>
      </c>
      <c r="J227" s="6" t="s">
        <v>539</v>
      </c>
      <c r="K227" s="6">
        <v>1</v>
      </c>
      <c r="L227" s="6"/>
    </row>
    <row r="228" spans="1:12" ht="38.25" hidden="1" outlineLevel="1">
      <c r="B228" s="6" t="s">
        <v>1124</v>
      </c>
      <c r="C228" s="847" t="str">
        <f>DocMHR[[#This Row],[Category EN]]&amp;IF(LEN(DocMHR[[#This Row],[Subcategory EN]])&gt;0," 
" &amp;DocMHR[[#This Row],[Subcategory EN]],)</f>
        <v>Supplier-specific 
Rental costs</v>
      </c>
      <c r="D228" s="449" t="s">
        <v>1574</v>
      </c>
      <c r="E228" s="847" t="str">
        <f>DocMHR[[#This Row],[Category DE]]&amp;IF(LEN(DocMHR[[#This Row],[Subcategory DE]])&gt;0," 
" &amp;DocMHR[[#This Row],[Subcategory DE]],)</f>
        <v>Lieferantenspezifisch 
Mietkosten</v>
      </c>
      <c r="F228" s="19" t="s">
        <v>1552</v>
      </c>
      <c r="G228" s="6" t="s">
        <v>1637</v>
      </c>
      <c r="H228" s="6" t="s">
        <v>1579</v>
      </c>
      <c r="I228" s="6" t="s">
        <v>1619</v>
      </c>
      <c r="J228" s="6" t="s">
        <v>1124</v>
      </c>
      <c r="K228" s="6">
        <v>1</v>
      </c>
      <c r="L228" s="6"/>
    </row>
    <row r="229" spans="1:12" ht="38.25" hidden="1" outlineLevel="1">
      <c r="B229" s="6" t="s">
        <v>1117</v>
      </c>
      <c r="C229" s="847" t="str">
        <f>DocMHR[[#This Row],[Category EN]]&amp;IF(LEN(DocMHR[[#This Row],[Subcategory EN]])&gt;0," 
" &amp;DocMHR[[#This Row],[Subcategory EN]],)</f>
        <v>Supplier-specific 
Working days per year</v>
      </c>
      <c r="D229" s="449" t="s">
        <v>1574</v>
      </c>
      <c r="E229" s="847" t="str">
        <f>DocMHR[[#This Row],[Category DE]]&amp;IF(LEN(DocMHR[[#This Row],[Subcategory DE]])&gt;0," 
" &amp;DocMHR[[#This Row],[Subcategory DE]],)</f>
        <v>Lieferantenspezifisch 
Arbeitstage pro Jahr</v>
      </c>
      <c r="F229" s="19" t="s">
        <v>1552</v>
      </c>
      <c r="G229" s="6" t="s">
        <v>1637</v>
      </c>
      <c r="H229" s="6" t="s">
        <v>601</v>
      </c>
      <c r="I229" s="6" t="s">
        <v>1619</v>
      </c>
      <c r="J229" s="6" t="s">
        <v>16</v>
      </c>
      <c r="K229" s="6">
        <v>1</v>
      </c>
      <c r="L229" s="6"/>
    </row>
    <row r="230" spans="1:12" ht="38.25" hidden="1" outlineLevel="1">
      <c r="B230" s="6" t="s">
        <v>6</v>
      </c>
      <c r="C230" s="847" t="str">
        <f>DocMHR[[#This Row],[Category EN]]&amp;IF(LEN(DocMHR[[#This Row],[Subcategory EN]])&gt;0," 
" &amp;DocMHR[[#This Row],[Subcategory EN]],)</f>
        <v>Supplier-specific 
Shift model</v>
      </c>
      <c r="D230" s="449" t="s">
        <v>1574</v>
      </c>
      <c r="E230" s="847" t="str">
        <f>DocMHR[[#This Row],[Category DE]]&amp;IF(LEN(DocMHR[[#This Row],[Subcategory DE]])&gt;0," 
" &amp;DocMHR[[#This Row],[Subcategory DE]],)</f>
        <v>Lieferantenspezifisch 
Schichtmodell</v>
      </c>
      <c r="F230" s="19" t="s">
        <v>1552</v>
      </c>
      <c r="G230" s="6" t="s">
        <v>1637</v>
      </c>
      <c r="H230" s="6" t="s">
        <v>1580</v>
      </c>
      <c r="I230" s="6" t="s">
        <v>1619</v>
      </c>
      <c r="J230" s="6" t="s">
        <v>1148</v>
      </c>
      <c r="K230" s="6">
        <v>1</v>
      </c>
      <c r="L230" s="6"/>
    </row>
    <row r="231" spans="1:12" ht="51" hidden="1" outlineLevel="1">
      <c r="B231" s="6" t="s">
        <v>1121</v>
      </c>
      <c r="C231" s="847" t="str">
        <f>DocMHR[[#This Row],[Category EN]]&amp;IF(LEN(DocMHR[[#This Row],[Subcategory EN]])&gt;0," 
" &amp;DocMHR[[#This Row],[Subcategory EN]],)</f>
        <v>Supplier-specific 
Hours per year</v>
      </c>
      <c r="D231" s="449" t="s">
        <v>2437</v>
      </c>
      <c r="E231" s="847" t="str">
        <f>DocMHR[[#This Row],[Category DE]]&amp;IF(LEN(DocMHR[[#This Row],[Subcategory DE]])&gt;0," 
" &amp;DocMHR[[#This Row],[Subcategory DE]],)</f>
        <v>Lieferantenspezifisch 
Stunden pro Jahr</v>
      </c>
      <c r="F231" s="19" t="s">
        <v>2436</v>
      </c>
      <c r="G231" s="6" t="s">
        <v>1637</v>
      </c>
      <c r="H231" s="6" t="s">
        <v>1581</v>
      </c>
      <c r="I231" s="6" t="s">
        <v>1619</v>
      </c>
      <c r="J231" s="6" t="s">
        <v>1149</v>
      </c>
      <c r="K231" s="6">
        <v>1</v>
      </c>
      <c r="L231" s="6"/>
    </row>
    <row r="232" spans="1:12" ht="38.25" hidden="1" outlineLevel="1">
      <c r="B232" s="6" t="s">
        <v>1122</v>
      </c>
      <c r="C232" s="847" t="str">
        <f>DocMHR[[#This Row],[Category EN]]&amp;IF(LEN(DocMHR[[#This Row],[Subcategory EN]])&gt;0," 
" &amp;DocMHR[[#This Row],[Subcategory EN]],)</f>
        <v>Supplier-specific 
Imputed interest rate</v>
      </c>
      <c r="D232" s="449" t="s">
        <v>1574</v>
      </c>
      <c r="E232" s="847" t="str">
        <f>DocMHR[[#This Row],[Category DE]]&amp;IF(LEN(DocMHR[[#This Row],[Subcategory DE]])&gt;0," 
" &amp;DocMHR[[#This Row],[Subcategory DE]],)</f>
        <v>Lieferantenspezifisch 
Kalkulatorischer Zinssatz</v>
      </c>
      <c r="F232" s="19" t="s">
        <v>1552</v>
      </c>
      <c r="G232" s="6" t="s">
        <v>1637</v>
      </c>
      <c r="H232" s="6" t="s">
        <v>1269</v>
      </c>
      <c r="I232" s="6" t="s">
        <v>1619</v>
      </c>
      <c r="J232" s="6" t="s">
        <v>1270</v>
      </c>
      <c r="K232" s="6">
        <v>1</v>
      </c>
      <c r="L232" s="6"/>
    </row>
    <row r="233" spans="1:12" ht="76.5" hidden="1" outlineLevel="1">
      <c r="B233" s="6" t="s">
        <v>1123</v>
      </c>
      <c r="C233" s="847" t="str">
        <f>DocMHR[[#This Row],[Category EN]]&amp;IF(LEN(DocMHR[[#This Row],[Subcategory EN]])&gt;0," 
" &amp;DocMHR[[#This Row],[Subcategory EN]],)</f>
        <v>Supplier-specific 
Electricity costs</v>
      </c>
      <c r="D233" s="449" t="s">
        <v>2121</v>
      </c>
      <c r="E233" s="847" t="str">
        <f>DocMHR[[#This Row],[Category DE]]&amp;IF(LEN(DocMHR[[#This Row],[Subcategory DE]])&gt;0," 
" &amp;DocMHR[[#This Row],[Subcategory DE]],)</f>
        <v>Lieferantenspezifisch 
Stromkosten</v>
      </c>
      <c r="F233" s="19" t="s">
        <v>2120</v>
      </c>
      <c r="G233" s="6" t="s">
        <v>1637</v>
      </c>
      <c r="H233" s="6" t="s">
        <v>1582</v>
      </c>
      <c r="I233" s="6" t="s">
        <v>1619</v>
      </c>
      <c r="J233" s="6" t="s">
        <v>1123</v>
      </c>
      <c r="K233" s="6">
        <v>1</v>
      </c>
      <c r="L233" s="6"/>
    </row>
    <row r="234" spans="1:12" ht="38.25" hidden="1" outlineLevel="1">
      <c r="B234" s="6" t="s">
        <v>1125</v>
      </c>
      <c r="C234" s="847" t="str">
        <f>DocMHR[[#This Row],[Category EN]]&amp;IF(LEN(DocMHR[[#This Row],[Subcategory EN]])&gt;0," 
" &amp;DocMHR[[#This Row],[Subcategory EN]],)</f>
        <v>Supplier-specific 
Gas costs</v>
      </c>
      <c r="D234" s="449" t="s">
        <v>1574</v>
      </c>
      <c r="E234" s="847" t="str">
        <f>DocMHR[[#This Row],[Category DE]]&amp;IF(LEN(DocMHR[[#This Row],[Subcategory DE]])&gt;0," 
" &amp;DocMHR[[#This Row],[Subcategory DE]],)</f>
        <v>Lieferantenspezifisch 
Gaskosten</v>
      </c>
      <c r="F234" s="19" t="s">
        <v>1552</v>
      </c>
      <c r="G234" s="6" t="s">
        <v>1637</v>
      </c>
      <c r="H234" s="6" t="s">
        <v>1583</v>
      </c>
      <c r="I234" s="6" t="s">
        <v>1619</v>
      </c>
      <c r="J234" s="6" t="s">
        <v>1125</v>
      </c>
      <c r="K234" s="6">
        <v>1</v>
      </c>
      <c r="L234" s="6"/>
    </row>
    <row r="235" spans="1:12" ht="153" hidden="1" outlineLevel="1">
      <c r="B235" s="6" t="s">
        <v>1126</v>
      </c>
      <c r="C235" s="847" t="str">
        <f>DocMHR[[#This Row],[Category EN]]&amp;IF(LEN(DocMHR[[#This Row],[Subcategory EN]])&gt;0," 
" &amp;DocMHR[[#This Row],[Subcategory EN]],)</f>
        <v>Supplier-specific 
MHR: fixed costs</v>
      </c>
      <c r="D235" s="449" t="s">
        <v>1589</v>
      </c>
      <c r="E235" s="847" t="str">
        <f>DocMHR[[#This Row],[Category DE]]&amp;IF(LEN(DocMHR[[#This Row],[Subcategory DE]])&gt;0," 
" &amp;DocMHR[[#This Row],[Subcategory DE]],)</f>
        <v>Lieferantenspezifisch 
MSS: Fixkosten</v>
      </c>
      <c r="F235" s="19" t="s">
        <v>1553</v>
      </c>
      <c r="G235" s="6" t="s">
        <v>1637</v>
      </c>
      <c r="H235" s="6" t="s">
        <v>1586</v>
      </c>
      <c r="I235" s="6" t="s">
        <v>1619</v>
      </c>
      <c r="J235" s="6" t="s">
        <v>1585</v>
      </c>
      <c r="K235" s="6">
        <v>1</v>
      </c>
      <c r="L235" s="6"/>
    </row>
    <row r="236" spans="1:12" ht="63.75" hidden="1" outlineLevel="1">
      <c r="B236" s="6" t="s">
        <v>1127</v>
      </c>
      <c r="C236" s="847" t="str">
        <f>DocMHR[[#This Row],[Category EN]]&amp;IF(LEN(DocMHR[[#This Row],[Subcategory EN]])&gt;0," 
" &amp;DocMHR[[#This Row],[Subcategory EN]],)</f>
        <v>Supplier-specific 
MHR: variable costs</v>
      </c>
      <c r="D236" s="449" t="s">
        <v>1590</v>
      </c>
      <c r="E236" s="847" t="str">
        <f>DocMHR[[#This Row],[Category DE]]&amp;IF(LEN(DocMHR[[#This Row],[Subcategory DE]])&gt;0," 
" &amp;DocMHR[[#This Row],[Subcategory DE]],)</f>
        <v>Lieferantenspezifisch 
MSS: Variable Kosten</v>
      </c>
      <c r="F236" s="19" t="s">
        <v>1560</v>
      </c>
      <c r="G236" s="6" t="s">
        <v>1637</v>
      </c>
      <c r="H236" s="6" t="s">
        <v>1587</v>
      </c>
      <c r="I236" s="6" t="s">
        <v>1619</v>
      </c>
      <c r="J236" s="6" t="s">
        <v>1584</v>
      </c>
      <c r="K236" s="6">
        <v>1</v>
      </c>
      <c r="L236" s="6"/>
    </row>
    <row r="237" spans="1:12" ht="89.25" hidden="1" outlineLevel="1">
      <c r="B237" s="6" t="s">
        <v>63</v>
      </c>
      <c r="C237" s="847" t="str">
        <f>DocMHR[[#This Row],[Category EN]]&amp;IF(LEN(DocMHR[[#This Row],[Subcategory EN]])&gt;0," 
" &amp;DocMHR[[#This Row],[Subcategory EN]],)</f>
        <v>Supplier-specific 
Indirect manufacturing hourly rate (IMHR)</v>
      </c>
      <c r="D237" s="449" t="s">
        <v>1776</v>
      </c>
      <c r="E237" s="847" t="str">
        <f>DocMHR[[#This Row],[Category DE]]&amp;IF(LEN(DocMHR[[#This Row],[Subcategory DE]])&gt;0," 
" &amp;DocMHR[[#This Row],[Subcategory DE]],)</f>
        <v>Lieferantenspezifisch 
Restfertigungsgemeinkosten-
stundensatz (RSS RFGK)</v>
      </c>
      <c r="F237" s="19" t="s">
        <v>1797</v>
      </c>
      <c r="G237" s="6" t="s">
        <v>1637</v>
      </c>
      <c r="H237" s="6" t="s">
        <v>1588</v>
      </c>
      <c r="I237" s="6" t="s">
        <v>1619</v>
      </c>
      <c r="J237" s="6" t="s">
        <v>1561</v>
      </c>
      <c r="K237" s="6">
        <v>1</v>
      </c>
      <c r="L237" s="6"/>
    </row>
    <row r="239" spans="1:12" collapsed="1">
      <c r="A239" s="458"/>
      <c r="B239" s="459" t="s">
        <v>873</v>
      </c>
    </row>
    <row r="240" spans="1:12" hidden="1" outlineLevel="1">
      <c r="A240" s="261"/>
      <c r="B240" s="260"/>
    </row>
    <row r="241" spans="2:12" ht="30" hidden="1" customHeight="1" outlineLevel="1">
      <c r="B241" s="6" t="s">
        <v>359</v>
      </c>
      <c r="C241" s="847" t="s">
        <v>360</v>
      </c>
      <c r="D241" s="449" t="s">
        <v>361</v>
      </c>
      <c r="E241" s="847" t="s">
        <v>362</v>
      </c>
      <c r="F241" s="19" t="s">
        <v>363</v>
      </c>
      <c r="G241" s="6" t="s">
        <v>367</v>
      </c>
      <c r="H241" s="6" t="s">
        <v>368</v>
      </c>
      <c r="I241" s="6" t="s">
        <v>366</v>
      </c>
      <c r="J241" s="6" t="s">
        <v>369</v>
      </c>
      <c r="K241" s="6" t="s">
        <v>720</v>
      </c>
      <c r="L241" s="6"/>
    </row>
    <row r="242" spans="2:12" hidden="1" outlineLevel="1">
      <c r="B242" s="6" t="s">
        <v>608</v>
      </c>
      <c r="C242" s="847" t="str">
        <f>DocMAT[[#This Row],[Category EN]]&amp;IF(LEN(DocMAT[[#This Row],[Subcategory EN]])&gt;0," 
" &amp;DocMAT[[#This Row],[Subcategory EN]],)</f>
        <v/>
      </c>
      <c r="E242" s="847" t="str">
        <f>DocMAT[[#This Row],[Category DE]]&amp;IF(LEN(DocMAT[[#This Row],[Subcategory DE]])&gt;0," 
" &amp;DocMAT[[#This Row],[Subcategory DE]],)</f>
        <v/>
      </c>
      <c r="K242" s="6">
        <v>1</v>
      </c>
      <c r="L242" s="6"/>
    </row>
    <row r="243" spans="2:12" ht="38.25" hidden="1" outlineLevel="1">
      <c r="B243" s="6" t="s">
        <v>2</v>
      </c>
      <c r="C243" s="847" t="str">
        <f>DocMAT[[#This Row],[Category EN]]&amp;IF(LEN(DocMAT[[#This Row],[Subcategory EN]])&gt;0," 
" &amp;DocMAT[[#This Row],[Subcategory EN]],)</f>
        <v>Designation</v>
      </c>
      <c r="D243" s="449" t="s">
        <v>1605</v>
      </c>
      <c r="E243" s="847" t="str">
        <f>DocMAT[[#This Row],[Category DE]]&amp;IF(LEN(DocMAT[[#This Row],[Subcategory DE]])&gt;0," 
" &amp;DocMAT[[#This Row],[Subcategory DE]],)</f>
        <v>Bezeichnung</v>
      </c>
      <c r="F243" s="19" t="s">
        <v>1606</v>
      </c>
      <c r="G243" s="6" t="s">
        <v>492</v>
      </c>
      <c r="H243" s="2"/>
      <c r="I243" s="6" t="s">
        <v>2</v>
      </c>
      <c r="K243" s="6">
        <v>1</v>
      </c>
      <c r="L243" s="6"/>
    </row>
    <row r="244" spans="2:12" ht="89.25" hidden="1" outlineLevel="1">
      <c r="B244" s="6" t="s">
        <v>2166</v>
      </c>
      <c r="C244" s="847" t="str">
        <f>DocMAT[[#This Row],[Category EN]]&amp;IF(LEN(DocMAT[[#This Row],[Subcategory EN]])&gt;0," 
" &amp;DocMAT[[#This Row],[Subcategory EN]],)</f>
        <v>Indirect material class</v>
      </c>
      <c r="D244" s="449" t="s">
        <v>2168</v>
      </c>
      <c r="E244" s="847" t="str">
        <f>DocMAT[[#This Row],[Category DE]]&amp;IF(LEN(DocMAT[[#This Row],[Subcategory DE]])&gt;0," 
" &amp;DocMAT[[#This Row],[Subcategory DE]],)</f>
        <v>MGK Materialklasse</v>
      </c>
      <c r="F244" s="19" t="s">
        <v>2167</v>
      </c>
      <c r="G244" s="6" t="s">
        <v>2163</v>
      </c>
      <c r="I244" s="6" t="s">
        <v>2165</v>
      </c>
      <c r="K244" s="6">
        <v>1</v>
      </c>
      <c r="L244" s="6"/>
    </row>
    <row r="245" spans="2:12" ht="51" hidden="1" outlineLevel="1">
      <c r="B245" s="6" t="s">
        <v>59</v>
      </c>
      <c r="C245" s="847" t="str">
        <f>DocMAT[[#This Row],[Category EN]]&amp;IF(LEN(DocMAT[[#This Row],[Subcategory EN]])&gt;0," 
" &amp;DocMAT[[#This Row],[Subcategory EN]],)</f>
        <v>Unit</v>
      </c>
      <c r="D245" s="449" t="s">
        <v>1701</v>
      </c>
      <c r="E245" s="847" t="str">
        <f>DocMAT[[#This Row],[Category DE]]&amp;IF(LEN(DocMAT[[#This Row],[Subcategory DE]])&gt;0," 
" &amp;DocMAT[[#This Row],[Subcategory DE]],)</f>
        <v>Einheit</v>
      </c>
      <c r="F245" s="19" t="s">
        <v>1599</v>
      </c>
      <c r="G245" s="6" t="s">
        <v>71</v>
      </c>
      <c r="I245" s="6" t="s">
        <v>59</v>
      </c>
      <c r="K245" s="6">
        <v>1</v>
      </c>
      <c r="L245" s="6"/>
    </row>
    <row r="246" spans="2:12" ht="51" hidden="1" outlineLevel="1">
      <c r="B246" s="6" t="s">
        <v>1262</v>
      </c>
      <c r="C246" s="847" t="str">
        <f>DocMAT[[#This Row],[Category EN]]&amp;IF(LEN(DocMAT[[#This Row],[Subcategory EN]])&gt;0," 
" &amp;DocMAT[[#This Row],[Subcategory EN]],)</f>
        <v>Price per unit 
(in input currency)</v>
      </c>
      <c r="D246" s="449" t="s">
        <v>1608</v>
      </c>
      <c r="E246" s="847" t="str">
        <f>DocMAT[[#This Row],[Category DE]]&amp;IF(LEN(DocMAT[[#This Row],[Subcategory DE]])&gt;0," 
" &amp;DocMAT[[#This Row],[Subcategory DE]],)</f>
        <v>Preis je Einheit 
(in Eingabewährung)</v>
      </c>
      <c r="F246" s="19" t="s">
        <v>1607</v>
      </c>
      <c r="G246" s="6" t="s">
        <v>1601</v>
      </c>
      <c r="I246" s="6" t="s">
        <v>1600</v>
      </c>
      <c r="K246" s="6">
        <v>1</v>
      </c>
      <c r="L246" s="6"/>
    </row>
    <row r="247" spans="2:12" hidden="1" outlineLevel="1">
      <c r="B247" s="6" t="s">
        <v>36</v>
      </c>
      <c r="C247" s="847" t="str">
        <f>DocMAT[[#This Row],[Category EN]]&amp;IF(LEN(DocMAT[[#This Row],[Subcategory EN]])&gt;0," 
" &amp;DocMAT[[#This Row],[Subcategory EN]],)</f>
        <v/>
      </c>
      <c r="E247" s="847" t="str">
        <f>DocMAT[[#This Row],[Category DE]]&amp;IF(LEN(DocMAT[[#This Row],[Subcategory DE]])&gt;0," 
" &amp;DocMAT[[#This Row],[Subcategory DE]],)</f>
        <v/>
      </c>
      <c r="K247" s="6">
        <v>1</v>
      </c>
      <c r="L247" s="6"/>
    </row>
    <row r="248" spans="2:12" hidden="1" outlineLevel="1">
      <c r="B248" s="6" t="s">
        <v>36</v>
      </c>
      <c r="C248" s="847" t="str">
        <f>DocMAT[[#This Row],[Category EN]]&amp;IF(LEN(DocMAT[[#This Row],[Subcategory EN]])&gt;0," 
" &amp;DocMAT[[#This Row],[Subcategory EN]],)</f>
        <v/>
      </c>
      <c r="E248" s="847" t="str">
        <f>DocMAT[[#This Row],[Category DE]]&amp;IF(LEN(DocMAT[[#This Row],[Subcategory DE]])&gt;0," 
" &amp;DocMAT[[#This Row],[Subcategory DE]],)</f>
        <v/>
      </c>
      <c r="K248" s="6">
        <v>1</v>
      </c>
      <c r="L248" s="6"/>
    </row>
    <row r="249" spans="2:12" hidden="1" outlineLevel="1">
      <c r="B249" s="6" t="s">
        <v>36</v>
      </c>
      <c r="C249" s="847" t="str">
        <f>DocMAT[[#This Row],[Category EN]]&amp;IF(LEN(DocMAT[[#This Row],[Subcategory EN]])&gt;0," 
" &amp;DocMAT[[#This Row],[Subcategory EN]],)</f>
        <v/>
      </c>
      <c r="E249" s="847" t="str">
        <f>DocMAT[[#This Row],[Category DE]]&amp;IF(LEN(DocMAT[[#This Row],[Subcategory DE]])&gt;0," 
" &amp;DocMAT[[#This Row],[Subcategory DE]],)</f>
        <v/>
      </c>
      <c r="K249" s="6">
        <v>1</v>
      </c>
      <c r="L249" s="6"/>
    </row>
    <row r="250" spans="2:12" ht="38.25" hidden="1" outlineLevel="1">
      <c r="B250" s="6" t="s">
        <v>11</v>
      </c>
      <c r="C250" s="847" t="str">
        <f>DocMAT[[#This Row],[Category EN]]&amp;IF(LEN(DocMAT[[#This Row],[Subcategory EN]])&gt;0," 
" &amp;DocMAT[[#This Row],[Subcategory EN]],)</f>
        <v>Price per unit</v>
      </c>
      <c r="D250" s="449" t="s">
        <v>1264</v>
      </c>
      <c r="E250" s="847" t="str">
        <f>DocMAT[[#This Row],[Category DE]]&amp;IF(LEN(DocMAT[[#This Row],[Subcategory DE]])&gt;0," 
" &amp;DocMAT[[#This Row],[Subcategory DE]],)</f>
        <v>Preis je Einheit</v>
      </c>
      <c r="F250" s="19" t="s">
        <v>1263</v>
      </c>
      <c r="G250" s="6" t="s">
        <v>1602</v>
      </c>
      <c r="I250" s="6" t="s">
        <v>1603</v>
      </c>
      <c r="K250" s="6">
        <v>1</v>
      </c>
      <c r="L250" s="6"/>
    </row>
    <row r="251" spans="2:12" ht="38.25" hidden="1" outlineLevel="1">
      <c r="B251" s="6" t="s">
        <v>1034</v>
      </c>
      <c r="C251" s="847" t="str">
        <f>DocMAT[[#This Row],[Category EN]]&amp;IF(LEN(DocMAT[[#This Row],[Subcategory EN]])&gt;0," 
" &amp;DocMAT[[#This Row],[Subcategory EN]],)</f>
        <v>Effort in h/year 
Purchasing</v>
      </c>
      <c r="D251" s="449" t="s">
        <v>2210</v>
      </c>
      <c r="E251" s="847" t="str">
        <f>DocMAT[[#This Row],[Category DE]]&amp;IF(LEN(DocMAT[[#This Row],[Subcategory DE]])&gt;0," 
" &amp;DocMAT[[#This Row],[Subcategory DE]],)</f>
        <v>Aufwand in h/Jahr 
Einkauf</v>
      </c>
      <c r="F251" s="19" t="s">
        <v>2192</v>
      </c>
      <c r="G251" s="6" t="s">
        <v>1604</v>
      </c>
      <c r="H251" s="6" t="s">
        <v>1219</v>
      </c>
      <c r="I251" s="6" t="s">
        <v>1044</v>
      </c>
      <c r="J251" s="6" t="s">
        <v>1042</v>
      </c>
      <c r="K251" s="6">
        <v>1</v>
      </c>
      <c r="L251" s="6"/>
    </row>
    <row r="252" spans="2:12" ht="63.75" hidden="1" outlineLevel="1">
      <c r="B252" s="6" t="s">
        <v>1035</v>
      </c>
      <c r="C252" s="847" t="str">
        <f>DocMAT[[#This Row],[Category EN]]&amp;IF(LEN(DocMAT[[#This Row],[Subcategory EN]])&gt;0," 
" &amp;DocMAT[[#This Row],[Subcategory EN]],)</f>
        <v>Effort in h/year 
Quality</v>
      </c>
      <c r="D252" s="449" t="s">
        <v>2211</v>
      </c>
      <c r="E252" s="847" t="str">
        <f>DocMAT[[#This Row],[Category DE]]&amp;IF(LEN(DocMAT[[#This Row],[Subcategory DE]])&gt;0," 
" &amp;DocMAT[[#This Row],[Subcategory DE]],)</f>
        <v>Aufwand in h/Jahr 
Qualität</v>
      </c>
      <c r="F252" s="19" t="s">
        <v>2193</v>
      </c>
      <c r="G252" s="6" t="s">
        <v>1604</v>
      </c>
      <c r="H252" s="6" t="s">
        <v>1220</v>
      </c>
      <c r="I252" s="6" t="s">
        <v>1044</v>
      </c>
      <c r="J252" s="6" t="s">
        <v>1043</v>
      </c>
      <c r="K252" s="6">
        <v>0</v>
      </c>
      <c r="L252" s="6"/>
    </row>
    <row r="253" spans="2:12" ht="51" hidden="1" outlineLevel="1">
      <c r="B253" s="6" t="s">
        <v>1037</v>
      </c>
      <c r="C253" s="847" t="str">
        <f>DocMAT[[#This Row],[Category EN]]&amp;IF(LEN(DocMAT[[#This Row],[Subcategory EN]])&gt;0," 
" &amp;DocMAT[[#This Row],[Subcategory EN]],)</f>
        <v>Effort in h/year 
Stock movement</v>
      </c>
      <c r="D253" s="449" t="s">
        <v>2212</v>
      </c>
      <c r="E253" s="847" t="str">
        <f>DocMAT[[#This Row],[Category DE]]&amp;IF(LEN(DocMAT[[#This Row],[Subcategory DE]])&gt;0," 
" &amp;DocMAT[[#This Row],[Subcategory DE]],)</f>
        <v>Aufwand in h/Jahr 
Lagerbewegung</v>
      </c>
      <c r="F253" s="19" t="s">
        <v>2194</v>
      </c>
      <c r="G253" s="6" t="s">
        <v>1604</v>
      </c>
      <c r="H253" s="6" t="s">
        <v>1221</v>
      </c>
      <c r="I253" s="6" t="s">
        <v>1044</v>
      </c>
      <c r="J253" s="6" t="s">
        <v>1150</v>
      </c>
      <c r="K253" s="6">
        <v>1</v>
      </c>
      <c r="L253" s="6"/>
    </row>
    <row r="254" spans="2:12" ht="51" hidden="1" outlineLevel="1">
      <c r="B254" s="6" t="s">
        <v>135</v>
      </c>
      <c r="C254" s="847" t="str">
        <f>DocMAT[[#This Row],[Category EN]]&amp;IF(LEN(DocMAT[[#This Row],[Subcategory EN]])&gt;0," 
" &amp;DocMAT[[#This Row],[Subcategory EN]],)</f>
        <v>Density</v>
      </c>
      <c r="D254" s="449" t="s">
        <v>1611</v>
      </c>
      <c r="E254" s="847" t="str">
        <f>DocMAT[[#This Row],[Category DE]]&amp;IF(LEN(DocMAT[[#This Row],[Subcategory DE]])&gt;0," 
" &amp;DocMAT[[#This Row],[Subcategory DE]],)</f>
        <v>Dichte</v>
      </c>
      <c r="F254" s="19" t="s">
        <v>1609</v>
      </c>
      <c r="G254" s="6" t="s">
        <v>563</v>
      </c>
      <c r="H254" s="2"/>
      <c r="I254" s="6" t="s">
        <v>135</v>
      </c>
      <c r="K254" s="6">
        <v>1</v>
      </c>
      <c r="L254" s="6"/>
    </row>
    <row r="255" spans="2:12" ht="89.25" hidden="1" outlineLevel="1">
      <c r="B255" s="6" t="s">
        <v>1523</v>
      </c>
      <c r="C255" s="847" t="str">
        <f>DocMAT[[#This Row],[Category EN]]&amp;IF(LEN(DocMAT[[#This Row],[Subcategory EN]])&gt;0," 
" &amp;DocMAT[[#This Row],[Subcategory EN]],)</f>
        <v>CO₂-Emission</v>
      </c>
      <c r="D255" s="449" t="s">
        <v>2222</v>
      </c>
      <c r="E255" s="847" t="str">
        <f>DocMAT[[#This Row],[Category DE]]&amp;IF(LEN(DocMAT[[#This Row],[Subcategory DE]])&gt;0," 
" &amp;DocMAT[[#This Row],[Subcategory DE]],)</f>
        <v>CO₂-Emission</v>
      </c>
      <c r="F255" s="19" t="s">
        <v>2224</v>
      </c>
      <c r="G255" s="6" t="s">
        <v>1596</v>
      </c>
      <c r="I255" s="6" t="s">
        <v>1596</v>
      </c>
      <c r="K255" s="6">
        <v>0</v>
      </c>
      <c r="L255" s="6"/>
    </row>
    <row r="256" spans="2:12" ht="255" hidden="1" outlineLevel="1">
      <c r="B256" s="6" t="s">
        <v>2158</v>
      </c>
      <c r="C256" s="847" t="str">
        <f>DocMAT[[#This Row],[Category EN]]&amp;IF(LEN(DocMAT[[#This Row],[Subcategory EN]])&gt;0," 
" &amp;DocMAT[[#This Row],[Subcategory EN]],)</f>
        <v>AWS material group</v>
      </c>
      <c r="D256" s="449" t="s">
        <v>2161</v>
      </c>
      <c r="E256" s="847" t="str">
        <f>DocMAT[[#This Row],[Category DE]]&amp;IF(LEN(DocMAT[[#This Row],[Subcategory DE]])&gt;0," 
" &amp;DocMAT[[#This Row],[Subcategory DE]],)</f>
        <v>AWS Materialgruppe</v>
      </c>
      <c r="F256" s="19" t="s">
        <v>2170</v>
      </c>
      <c r="G256" s="6" t="s">
        <v>2159</v>
      </c>
      <c r="I256" s="6" t="s">
        <v>2169</v>
      </c>
      <c r="K256" s="6">
        <v>0</v>
      </c>
      <c r="L256" s="6"/>
    </row>
    <row r="257" spans="1:12" ht="51" hidden="1" outlineLevel="1">
      <c r="B257" s="6" t="s">
        <v>2157</v>
      </c>
      <c r="C257" s="847" t="str">
        <f>DocMAT[[#This Row],[Category EN]]&amp;IF(LEN(DocMAT[[#This Row],[Subcategory EN]])&gt;0," 
" &amp;DocMAT[[#This Row],[Subcategory EN]],)</f>
        <v>base material</v>
      </c>
      <c r="D257" s="449" t="s">
        <v>2162</v>
      </c>
      <c r="E257" s="847" t="str">
        <f>DocMAT[[#This Row],[Category DE]]&amp;IF(LEN(DocMAT[[#This Row],[Subcategory DE]])&gt;0," 
" &amp;DocMAT[[#This Row],[Subcategory DE]],)</f>
        <v>Basismaterial</v>
      </c>
      <c r="F257" s="19" t="s">
        <v>2171</v>
      </c>
      <c r="G257" s="6" t="s">
        <v>2160</v>
      </c>
      <c r="I257" s="6" t="s">
        <v>2157</v>
      </c>
      <c r="K257" s="6">
        <v>0</v>
      </c>
      <c r="L257" s="6"/>
    </row>
    <row r="258" spans="1:12" hidden="1" outlineLevel="1">
      <c r="B258" s="6" t="s">
        <v>79</v>
      </c>
      <c r="C258" s="847" t="str">
        <f>DocMAT[[#This Row],[Category EN]]&amp;IF(LEN(DocMAT[[#This Row],[Subcategory EN]])&gt;0," 
" &amp;DocMAT[[#This Row],[Subcategory EN]],)</f>
        <v/>
      </c>
      <c r="E258" s="847" t="str">
        <f>DocMAT[[#This Row],[Category DE]]&amp;IF(LEN(DocMAT[[#This Row],[Subcategory DE]])&gt;0," 
" &amp;DocMAT[[#This Row],[Subcategory DE]],)</f>
        <v>Verwendung</v>
      </c>
      <c r="F258" s="19" t="s">
        <v>1218</v>
      </c>
      <c r="H258" s="2"/>
      <c r="I258" s="6" t="s">
        <v>1147</v>
      </c>
      <c r="K258" s="6">
        <v>1</v>
      </c>
      <c r="L258" s="6"/>
    </row>
    <row r="259" spans="1:12" ht="51" hidden="1" outlineLevel="1">
      <c r="B259" s="6" t="s">
        <v>917</v>
      </c>
      <c r="C259" s="847" t="str">
        <f>DocMAT[[#This Row],[Category EN]]&amp;IF(LEN(DocMAT[[#This Row],[Subcategory EN]])&gt;0," 
" &amp;DocMAT[[#This Row],[Subcategory EN]],)</f>
        <v>Data status</v>
      </c>
      <c r="D259" s="449" t="s">
        <v>1571</v>
      </c>
      <c r="E259" s="847" t="str">
        <f>DocMAT[[#This Row],[Category DE]]&amp;IF(LEN(DocMAT[[#This Row],[Subcategory DE]])&gt;0," 
" &amp;DocMAT[[#This Row],[Subcategory DE]],)</f>
        <v>Datenstand</v>
      </c>
      <c r="F259" s="19" t="s">
        <v>1547</v>
      </c>
      <c r="G259" s="6" t="s">
        <v>1577</v>
      </c>
      <c r="I259" s="6" t="s">
        <v>917</v>
      </c>
      <c r="K259" s="6">
        <v>1</v>
      </c>
      <c r="L259" s="6"/>
    </row>
    <row r="260" spans="1:12" ht="25.5" hidden="1" outlineLevel="1">
      <c r="B260" s="6" t="s">
        <v>918</v>
      </c>
      <c r="C260" s="847" t="str">
        <f>DocMAT[[#This Row],[Category EN]]&amp;IF(LEN(DocMAT[[#This Row],[Subcategory EN]])&gt;0," 
" &amp;DocMAT[[#This Row],[Subcategory EN]],)</f>
        <v>Data origin</v>
      </c>
      <c r="D260" s="449" t="s">
        <v>1591</v>
      </c>
      <c r="E260" s="847" t="str">
        <f>DocMAT[[#This Row],[Category DE]]&amp;IF(LEN(DocMAT[[#This Row],[Subcategory DE]])&gt;0," 
" &amp;DocMAT[[#This Row],[Subcategory DE]],)</f>
        <v>Datenherkunft</v>
      </c>
      <c r="F260" s="19" t="s">
        <v>1610</v>
      </c>
      <c r="G260" s="6" t="s">
        <v>1578</v>
      </c>
      <c r="I260" s="6" t="s">
        <v>1549</v>
      </c>
      <c r="K260" s="6">
        <v>0</v>
      </c>
      <c r="L260" s="6"/>
    </row>
    <row r="261" spans="1:12" hidden="1" outlineLevel="1">
      <c r="B261" s="6" t="s">
        <v>916</v>
      </c>
      <c r="C261" s="847" t="str">
        <f>DocMAT[[#This Row],[Category EN]]&amp;IF(LEN(DocMAT[[#This Row],[Subcategory EN]])&gt;0," 
" &amp;DocMAT[[#This Row],[Subcategory EN]],)</f>
        <v/>
      </c>
      <c r="E261" s="847" t="str">
        <f>DocMAT[[#This Row],[Category DE]]&amp;IF(LEN(DocMAT[[#This Row],[Subcategory DE]])&gt;0," 
" &amp;DocMAT[[#This Row],[Subcategory DE]],)</f>
        <v/>
      </c>
      <c r="K261" s="6">
        <v>0</v>
      </c>
      <c r="L261" s="6"/>
    </row>
    <row r="262" spans="1:12" ht="102" hidden="1" outlineLevel="1">
      <c r="B262" s="6" t="s">
        <v>1154</v>
      </c>
      <c r="C262" s="847" t="str">
        <f>DocMAT[[#This Row],[Category EN]]&amp;IF(LEN(DocMAT[[#This Row],[Subcategory EN]])&gt;0," 
" &amp;DocMAT[[#This Row],[Subcategory EN]],)</f>
        <v>Supplier-specific 
Annual costs: Total</v>
      </c>
      <c r="D262" s="449" t="s">
        <v>1629</v>
      </c>
      <c r="E262" s="847" t="str">
        <f>DocMAT[[#This Row],[Category DE]]&amp;IF(LEN(DocMAT[[#This Row],[Subcategory DE]])&gt;0," 
" &amp;DocMAT[[#This Row],[Subcategory DE]],)</f>
        <v>Lieferantenspezifisch 
Jährliche Kosten: Gesamt</v>
      </c>
      <c r="F262" s="19" t="s">
        <v>1612</v>
      </c>
      <c r="G262" s="6" t="s">
        <v>1637</v>
      </c>
      <c r="H262" s="6" t="s">
        <v>1638</v>
      </c>
      <c r="I262" s="6" t="s">
        <v>1619</v>
      </c>
      <c r="J262" s="6" t="s">
        <v>1618</v>
      </c>
      <c r="K262" s="6">
        <v>1</v>
      </c>
      <c r="L262" s="6"/>
    </row>
    <row r="263" spans="1:12" ht="51" hidden="1" outlineLevel="1">
      <c r="B263" s="6" t="s">
        <v>1042</v>
      </c>
      <c r="C263" s="847" t="str">
        <f>DocMAT[[#This Row],[Category EN]]&amp;IF(LEN(DocMAT[[#This Row],[Subcategory EN]])&gt;0," 
" &amp;DocMAT[[#This Row],[Subcategory EN]],)</f>
        <v>Supplier-specific 
Annual costs: Purchasing</v>
      </c>
      <c r="D263" s="449" t="s">
        <v>1630</v>
      </c>
      <c r="E263" s="847" t="str">
        <f>DocMAT[[#This Row],[Category DE]]&amp;IF(LEN(DocMAT[[#This Row],[Subcategory DE]])&gt;0," 
" &amp;DocMAT[[#This Row],[Subcategory DE]],)</f>
        <v>Lieferantenspezifisch 
Jährliche Kosten: Einkauf</v>
      </c>
      <c r="F263" s="19" t="s">
        <v>1614</v>
      </c>
      <c r="G263" s="6" t="s">
        <v>1637</v>
      </c>
      <c r="H263" s="2" t="s">
        <v>1639</v>
      </c>
      <c r="I263" s="6" t="s">
        <v>1619</v>
      </c>
      <c r="J263" s="6" t="s">
        <v>1620</v>
      </c>
      <c r="K263" s="6">
        <v>1</v>
      </c>
      <c r="L263" s="6"/>
    </row>
    <row r="264" spans="1:12" ht="51" hidden="1" outlineLevel="1">
      <c r="B264" s="6" t="s">
        <v>1043</v>
      </c>
      <c r="C264" s="847" t="str">
        <f>DocMAT[[#This Row],[Category EN]]&amp;IF(LEN(DocMAT[[#This Row],[Subcategory EN]])&gt;0," 
" &amp;DocMAT[[#This Row],[Subcategory EN]],)</f>
        <v>Supplier-specific 
Annual costs: Quality</v>
      </c>
      <c r="D264" s="449" t="s">
        <v>1631</v>
      </c>
      <c r="E264" s="847" t="str">
        <f>DocMAT[[#This Row],[Category DE]]&amp;IF(LEN(DocMAT[[#This Row],[Subcategory DE]])&gt;0," 
" &amp;DocMAT[[#This Row],[Subcategory DE]],)</f>
        <v>Lieferantenspezifisch 
Jährliche Kosten: Qualität</v>
      </c>
      <c r="F264" s="19" t="s">
        <v>1615</v>
      </c>
      <c r="G264" s="6" t="s">
        <v>1637</v>
      </c>
      <c r="H264" s="6" t="s">
        <v>1640</v>
      </c>
      <c r="I264" s="6" t="s">
        <v>1619</v>
      </c>
      <c r="J264" s="6" t="s">
        <v>1621</v>
      </c>
      <c r="K264" s="6">
        <v>1</v>
      </c>
      <c r="L264" s="6"/>
    </row>
    <row r="265" spans="1:12" ht="63.75" hidden="1" outlineLevel="1">
      <c r="B265" s="6" t="s">
        <v>1150</v>
      </c>
      <c r="C265" s="847" t="str">
        <f>DocMAT[[#This Row],[Category EN]]&amp;IF(LEN(DocMAT[[#This Row],[Subcategory EN]])&gt;0," 
" &amp;DocMAT[[#This Row],[Subcategory EN]],)</f>
        <v>Supplier-specific 
Annual cost: Stock movement</v>
      </c>
      <c r="D265" s="449" t="s">
        <v>1632</v>
      </c>
      <c r="E265" s="847" t="str">
        <f>DocMAT[[#This Row],[Category DE]]&amp;IF(LEN(DocMAT[[#This Row],[Subcategory DE]])&gt;0," 
" &amp;DocMAT[[#This Row],[Subcategory DE]],)</f>
        <v>Lieferantenspezifisch 
Jährliche Kosten: Lagerbewegung</v>
      </c>
      <c r="F265" s="19" t="s">
        <v>1627</v>
      </c>
      <c r="G265" s="6" t="s">
        <v>1637</v>
      </c>
      <c r="H265" s="6" t="s">
        <v>1641</v>
      </c>
      <c r="I265" s="6" t="s">
        <v>1619</v>
      </c>
      <c r="J265" s="6" t="s">
        <v>1622</v>
      </c>
      <c r="K265" s="6">
        <v>1</v>
      </c>
      <c r="L265" s="6"/>
    </row>
    <row r="266" spans="1:12" ht="38.25" hidden="1" outlineLevel="1">
      <c r="B266" s="6" t="s">
        <v>1151</v>
      </c>
      <c r="C266" s="847" t="str">
        <f>DocMAT[[#This Row],[Category EN]]&amp;IF(LEN(DocMAT[[#This Row],[Subcategory EN]])&gt;0," 
" &amp;DocMAT[[#This Row],[Subcategory EN]],)</f>
        <v>Supplier-specific 
Cost per unit: Capital commitment</v>
      </c>
      <c r="D266" s="449" t="s">
        <v>1633</v>
      </c>
      <c r="E266" s="847" t="str">
        <f>DocMAT[[#This Row],[Category DE]]&amp;IF(LEN(DocMAT[[#This Row],[Subcategory DE]])&gt;0," 
" &amp;DocMAT[[#This Row],[Subcategory DE]],)</f>
        <v>Lieferantenspezifisch 
Kosten je Einheit: Kapitalbindung</v>
      </c>
      <c r="F266" s="19" t="s">
        <v>1616</v>
      </c>
      <c r="G266" s="6" t="s">
        <v>1637</v>
      </c>
      <c r="H266" s="6" t="s">
        <v>1642</v>
      </c>
      <c r="I266" s="6" t="s">
        <v>1619</v>
      </c>
      <c r="J266" s="6" t="s">
        <v>1623</v>
      </c>
      <c r="K266" s="6">
        <v>1</v>
      </c>
      <c r="L266" s="6"/>
    </row>
    <row r="267" spans="1:12" ht="38.25" hidden="1" outlineLevel="1">
      <c r="B267" s="6" t="s">
        <v>1152</v>
      </c>
      <c r="C267" s="847" t="str">
        <f>DocMAT[[#This Row],[Category EN]]&amp;IF(LEN(DocMAT[[#This Row],[Subcategory EN]])&gt;0," 
" &amp;DocMAT[[#This Row],[Subcategory EN]],)</f>
        <v>Supplier-specific 
Costs per unit: Insurance</v>
      </c>
      <c r="D267" s="449" t="s">
        <v>1634</v>
      </c>
      <c r="E267" s="847" t="str">
        <f>DocMAT[[#This Row],[Category DE]]&amp;IF(LEN(DocMAT[[#This Row],[Subcategory DE]])&gt;0," 
" &amp;DocMAT[[#This Row],[Subcategory DE]],)</f>
        <v>Lieferantenspezifisch 
Kosten je Einheit: Versicherung</v>
      </c>
      <c r="F267" s="19" t="s">
        <v>1617</v>
      </c>
      <c r="G267" s="6" t="s">
        <v>1637</v>
      </c>
      <c r="H267" s="6" t="s">
        <v>1643</v>
      </c>
      <c r="I267" s="6" t="s">
        <v>1619</v>
      </c>
      <c r="J267" s="6" t="s">
        <v>1624</v>
      </c>
      <c r="K267" s="6">
        <v>1</v>
      </c>
      <c r="L267" s="6"/>
    </row>
    <row r="268" spans="1:12" ht="51" hidden="1" outlineLevel="1">
      <c r="B268" s="6" t="s">
        <v>1153</v>
      </c>
      <c r="C268" s="847" t="str">
        <f>DocMAT[[#This Row],[Category EN]]&amp;IF(LEN(DocMAT[[#This Row],[Subcategory EN]])&gt;0," 
" &amp;DocMAT[[#This Row],[Subcategory EN]],)</f>
        <v>Supplier-specific 
Costs per unit: Storage space costs</v>
      </c>
      <c r="D268" s="449" t="s">
        <v>1635</v>
      </c>
      <c r="E268" s="847" t="str">
        <f>DocMAT[[#This Row],[Category DE]]&amp;IF(LEN(DocMAT[[#This Row],[Subcategory DE]])&gt;0," 
" &amp;DocMAT[[#This Row],[Subcategory DE]],)</f>
        <v>Lieferantenspezifisch 
Kosten je Einheit: Lagerplatzkosten</v>
      </c>
      <c r="F268" s="19" t="s">
        <v>1628</v>
      </c>
      <c r="G268" s="6" t="s">
        <v>1637</v>
      </c>
      <c r="H268" s="6" t="s">
        <v>1644</v>
      </c>
      <c r="I268" s="6" t="s">
        <v>1619</v>
      </c>
      <c r="J268" s="6" t="s">
        <v>1625</v>
      </c>
      <c r="K268" s="6">
        <v>1</v>
      </c>
      <c r="L268" s="6"/>
    </row>
    <row r="269" spans="1:12" ht="102" hidden="1" outlineLevel="1">
      <c r="B269" s="6" t="s">
        <v>1155</v>
      </c>
      <c r="C269" s="847" t="str">
        <f>DocMAT[[#This Row],[Category EN]]&amp;IF(LEN(DocMAT[[#This Row],[Subcategory EN]])&gt;0," 
" &amp;DocMAT[[#This Row],[Subcategory EN]],)</f>
        <v>Supplier-specific 
Costs per unit: Total</v>
      </c>
      <c r="D269" s="449" t="s">
        <v>1636</v>
      </c>
      <c r="E269" s="847" t="str">
        <f>DocMAT[[#This Row],[Category DE]]&amp;IF(LEN(DocMAT[[#This Row],[Subcategory DE]])&gt;0," 
" &amp;DocMAT[[#This Row],[Subcategory DE]],)</f>
        <v>Lieferantenspezifisch 
Kosten je Einheit: Gesamt</v>
      </c>
      <c r="F269" s="19" t="s">
        <v>1613</v>
      </c>
      <c r="G269" s="6" t="s">
        <v>1637</v>
      </c>
      <c r="H269" s="6" t="s">
        <v>1645</v>
      </c>
      <c r="I269" s="6" t="s">
        <v>1619</v>
      </c>
      <c r="J269" s="6" t="s">
        <v>1626</v>
      </c>
      <c r="K269" s="6">
        <v>1</v>
      </c>
      <c r="L269" s="6"/>
    </row>
    <row r="271" spans="1:12" collapsed="1">
      <c r="A271" s="458"/>
      <c r="B271" s="459" t="s">
        <v>875</v>
      </c>
    </row>
    <row r="272" spans="1:12" hidden="1" outlineLevel="1">
      <c r="A272" s="261"/>
      <c r="B272" s="260"/>
    </row>
    <row r="273" spans="2:9" ht="30" hidden="1" customHeight="1" outlineLevel="1">
      <c r="B273" s="6" t="s">
        <v>359</v>
      </c>
      <c r="C273" s="847" t="s">
        <v>360</v>
      </c>
      <c r="D273" s="449" t="s">
        <v>361</v>
      </c>
      <c r="E273" s="847" t="s">
        <v>362</v>
      </c>
      <c r="F273" s="19" t="s">
        <v>363</v>
      </c>
      <c r="G273" s="6" t="s">
        <v>367</v>
      </c>
      <c r="H273" s="6" t="s">
        <v>366</v>
      </c>
      <c r="I273" s="6" t="s">
        <v>720</v>
      </c>
    </row>
    <row r="274" spans="2:9" hidden="1" outlineLevel="1">
      <c r="B274" s="6" t="s">
        <v>608</v>
      </c>
      <c r="C274" s="847">
        <f>DocLOC[[#This Row],[Category EN]]</f>
        <v>0</v>
      </c>
      <c r="E274" s="847">
        <f>DocLOC[[#This Row],[Category DE]]</f>
        <v>0</v>
      </c>
    </row>
    <row r="275" spans="2:9" ht="38.25" hidden="1" outlineLevel="1">
      <c r="B275" s="6" t="s">
        <v>23</v>
      </c>
      <c r="C275" s="847" t="str">
        <f>DocLOC[[#This Row],[Category EN]]</f>
        <v>Location</v>
      </c>
      <c r="D275" s="449" t="s">
        <v>1714</v>
      </c>
      <c r="E275" s="847" t="str">
        <f>DocLOC[[#This Row],[Category DE]]</f>
        <v>Standort</v>
      </c>
      <c r="F275" s="19" t="s">
        <v>1715</v>
      </c>
      <c r="G275" s="6" t="s">
        <v>624</v>
      </c>
      <c r="H275" s="6" t="s">
        <v>23</v>
      </c>
      <c r="I275" s="6">
        <v>1</v>
      </c>
    </row>
    <row r="276" spans="2:9" ht="38.25" hidden="1" outlineLevel="1">
      <c r="B276" s="6" t="s">
        <v>3253</v>
      </c>
      <c r="C276" s="847" t="str">
        <f>DocLOC[[#This Row],[Category EN]]</f>
        <v>Machine Operator_x000D_
1-shift [EUR].</v>
      </c>
      <c r="D276" s="449" t="s">
        <v>625</v>
      </c>
      <c r="E276" s="847" t="str">
        <f>DocLOC[[#This Row],[Category DE]]</f>
        <v>Maschinenbediener
1-Schicht [EUR]</v>
      </c>
      <c r="F276" s="19" t="s">
        <v>1716</v>
      </c>
      <c r="G276" s="6" t="s">
        <v>626</v>
      </c>
      <c r="H276" s="6" t="s">
        <v>627</v>
      </c>
      <c r="I276" s="6">
        <v>1</v>
      </c>
    </row>
    <row r="277" spans="2:9" ht="38.25" hidden="1" outlineLevel="1">
      <c r="B277" s="6" t="s">
        <v>3254</v>
      </c>
      <c r="C277" s="847" t="str">
        <f>DocLOC[[#This Row],[Category EN]]</f>
        <v>skilled worker_x000D_
1-shift [EUR].</v>
      </c>
      <c r="D277" s="449" t="s">
        <v>628</v>
      </c>
      <c r="E277" s="847" t="str">
        <f>DocLOC[[#This Row],[Category DE]]</f>
        <v>Facharbeiter
1-Schicht [EUR]</v>
      </c>
      <c r="F277" s="19" t="s">
        <v>1717</v>
      </c>
      <c r="G277" s="6" t="s">
        <v>629</v>
      </c>
      <c r="H277" s="6" t="s">
        <v>630</v>
      </c>
      <c r="I277" s="6">
        <v>1</v>
      </c>
    </row>
    <row r="278" spans="2:9" ht="25.5" hidden="1" outlineLevel="1">
      <c r="B278" s="6" t="s">
        <v>3255</v>
      </c>
      <c r="C278" s="847" t="str">
        <f>DocLOC[[#This Row],[Category EN]]</f>
        <v>Machine Operator_x000D_
2-shift [EUR].</v>
      </c>
      <c r="D278" s="449" t="s">
        <v>631</v>
      </c>
      <c r="E278" s="847" t="str">
        <f>DocLOC[[#This Row],[Category DE]]</f>
        <v>Maschinenbediener
2-Schicht [EUR]</v>
      </c>
      <c r="F278" s="19" t="s">
        <v>632</v>
      </c>
      <c r="G278" s="6" t="s">
        <v>633</v>
      </c>
      <c r="H278" s="6" t="s">
        <v>634</v>
      </c>
      <c r="I278" s="6">
        <v>1</v>
      </c>
    </row>
    <row r="279" spans="2:9" ht="25.5" hidden="1" outlineLevel="1">
      <c r="B279" s="6" t="s">
        <v>3256</v>
      </c>
      <c r="C279" s="847" t="str">
        <f>DocLOC[[#This Row],[Category EN]]</f>
        <v>skilled worker_x000D_
2-shift [EUR].</v>
      </c>
      <c r="D279" s="449" t="s">
        <v>635</v>
      </c>
      <c r="E279" s="847" t="str">
        <f>DocLOC[[#This Row],[Category DE]]</f>
        <v>Facharbeiter
2-Schicht [EUR]</v>
      </c>
      <c r="F279" s="19" t="s">
        <v>636</v>
      </c>
      <c r="G279" s="6" t="s">
        <v>637</v>
      </c>
      <c r="H279" s="6" t="s">
        <v>638</v>
      </c>
      <c r="I279" s="6">
        <v>1</v>
      </c>
    </row>
    <row r="280" spans="2:9" ht="25.5" hidden="1" outlineLevel="1">
      <c r="B280" s="6" t="s">
        <v>3257</v>
      </c>
      <c r="C280" s="847" t="str">
        <f>DocLOC[[#This Row],[Category EN]]</f>
        <v>Machine Operator_x000D_
3-shift [EUR].</v>
      </c>
      <c r="D280" s="449" t="s">
        <v>639</v>
      </c>
      <c r="E280" s="847" t="str">
        <f>DocLOC[[#This Row],[Category DE]]</f>
        <v>Maschinenbediener
3-Schicht [EUR]</v>
      </c>
      <c r="F280" s="19" t="s">
        <v>640</v>
      </c>
      <c r="G280" s="6" t="s">
        <v>641</v>
      </c>
      <c r="H280" s="6" t="s">
        <v>642</v>
      </c>
      <c r="I280" s="6">
        <v>1</v>
      </c>
    </row>
    <row r="281" spans="2:9" ht="25.5" hidden="1" outlineLevel="1">
      <c r="B281" s="6" t="s">
        <v>3258</v>
      </c>
      <c r="C281" s="847" t="str">
        <f>DocLOC[[#This Row],[Category EN]]</f>
        <v>skilled worker_x000D_
3-shift [EUR].</v>
      </c>
      <c r="D281" s="449" t="s">
        <v>643</v>
      </c>
      <c r="E281" s="847" t="str">
        <f>DocLOC[[#This Row],[Category DE]]</f>
        <v>Facharbeiter
3-Schicht [EUR]</v>
      </c>
      <c r="F281" s="19" t="s">
        <v>644</v>
      </c>
      <c r="G281" s="6" t="s">
        <v>645</v>
      </c>
      <c r="H281" s="6" t="s">
        <v>646</v>
      </c>
      <c r="I281" s="6">
        <v>1</v>
      </c>
    </row>
    <row r="282" spans="2:9" ht="63.75" hidden="1" outlineLevel="1">
      <c r="B282" s="6" t="s">
        <v>3259</v>
      </c>
      <c r="C282" s="847" t="str">
        <f>DocLOC[[#This Row],[Category EN]]</f>
        <v>Surcharge _x000D_
2-layer [%].</v>
      </c>
      <c r="D282" s="449" t="s">
        <v>1719</v>
      </c>
      <c r="E282" s="847" t="str">
        <f>DocLOC[[#This Row],[Category DE]]</f>
        <v>Zuschlag 
2-Schicht [%]</v>
      </c>
      <c r="F282" s="19" t="s">
        <v>1718</v>
      </c>
      <c r="G282" s="6" t="s">
        <v>647</v>
      </c>
      <c r="H282" s="6" t="s">
        <v>102</v>
      </c>
      <c r="I282" s="6">
        <v>1</v>
      </c>
    </row>
    <row r="283" spans="2:9" ht="63.75" hidden="1" outlineLevel="1">
      <c r="B283" s="6" t="s">
        <v>3260</v>
      </c>
      <c r="C283" s="847" t="str">
        <f>DocLOC[[#This Row],[Category EN]]</f>
        <v>Surcharge _x000D_
3-layer [%].</v>
      </c>
      <c r="D283" s="449" t="s">
        <v>1721</v>
      </c>
      <c r="E283" s="847" t="str">
        <f>DocLOC[[#This Row],[Category DE]]</f>
        <v>Zuschlag 
3-Schicht [%]</v>
      </c>
      <c r="F283" s="19" t="s">
        <v>1720</v>
      </c>
      <c r="G283" s="6" t="s">
        <v>648</v>
      </c>
      <c r="H283" s="6" t="s">
        <v>103</v>
      </c>
      <c r="I283" s="6">
        <v>1</v>
      </c>
    </row>
    <row r="284" spans="2:9" hidden="1" outlineLevel="1">
      <c r="B284" s="6" t="s">
        <v>578</v>
      </c>
      <c r="I284" s="6">
        <v>1</v>
      </c>
    </row>
    <row r="285" spans="2:9" ht="38.25" hidden="1" outlineLevel="1">
      <c r="B285" s="6" t="s">
        <v>90</v>
      </c>
      <c r="C285" s="847" t="str">
        <f>DocLOC[[#This Row],[Category EN]]</f>
        <v>Economic area</v>
      </c>
      <c r="D285" s="449" t="s">
        <v>1723</v>
      </c>
      <c r="E285" s="847" t="str">
        <f>DocLOC[[#This Row],[Category DE]]</f>
        <v>Wirschaftsbereich</v>
      </c>
      <c r="F285" s="19" t="s">
        <v>1722</v>
      </c>
      <c r="G285" s="6" t="s">
        <v>649</v>
      </c>
      <c r="H285" s="6" t="s">
        <v>90</v>
      </c>
      <c r="I285" s="6">
        <v>1</v>
      </c>
    </row>
    <row r="286" spans="2:9" ht="25.5" hidden="1" outlineLevel="1">
      <c r="B286" s="6" t="s">
        <v>454</v>
      </c>
      <c r="C286" s="847" t="str">
        <f>DocLOC[[#This Row],[Category EN]]</f>
        <v>Monthly rent _x000D_
[EUR/m²]</v>
      </c>
      <c r="D286" s="449" t="s">
        <v>650</v>
      </c>
      <c r="E286" s="847" t="str">
        <f>DocLOC[[#This Row],[Category DE]]</f>
        <v>Monatesmiete 
[EUR/m²]</v>
      </c>
      <c r="F286" s="19" t="s">
        <v>651</v>
      </c>
      <c r="G286" s="6" t="s">
        <v>652</v>
      </c>
      <c r="H286" s="6" t="s">
        <v>653</v>
      </c>
      <c r="I286" s="6">
        <v>1</v>
      </c>
    </row>
    <row r="287" spans="2:9" ht="25.5" hidden="1" outlineLevel="1">
      <c r="B287" s="6" t="s">
        <v>21</v>
      </c>
      <c r="C287" s="847" t="str">
        <f>DocLOC[[#This Row],[Category EN]]</f>
        <v>Energy 
[EUR/kWh]</v>
      </c>
      <c r="D287" s="449" t="s">
        <v>654</v>
      </c>
      <c r="E287" s="847" t="str">
        <f>DocLOC[[#This Row],[Category DE]]</f>
        <v>Strom 
[EUR/kWh]</v>
      </c>
      <c r="F287" s="19" t="s">
        <v>1156</v>
      </c>
      <c r="G287" s="6" t="s">
        <v>876</v>
      </c>
      <c r="H287" s="6" t="s">
        <v>104</v>
      </c>
      <c r="I287" s="6">
        <v>1</v>
      </c>
    </row>
    <row r="288" spans="2:9" ht="25.5" hidden="1" outlineLevel="1">
      <c r="B288" s="6" t="s">
        <v>587</v>
      </c>
      <c r="C288" s="847" t="str">
        <f>DocLOC[[#This Row],[Category EN]]</f>
        <v>Natural gas 
[EUR/kWh]</v>
      </c>
      <c r="D288" s="449" t="s">
        <v>1160</v>
      </c>
      <c r="E288" s="847" t="str">
        <f>DocLOC[[#This Row],[Category DE]]</f>
        <v>Erdgas 
[EUR/kWh]</v>
      </c>
      <c r="F288" s="19" t="s">
        <v>1159</v>
      </c>
      <c r="G288" s="6" t="s">
        <v>1158</v>
      </c>
      <c r="H288" s="6" t="s">
        <v>1157</v>
      </c>
      <c r="I288" s="6">
        <v>1</v>
      </c>
    </row>
    <row r="289" spans="1:9" ht="38.25" hidden="1" outlineLevel="1">
      <c r="B289" s="6" t="s">
        <v>45</v>
      </c>
      <c r="C289" s="847" t="str">
        <f>DocLOC[[#This Row],[Category EN]]</f>
        <v>Imp. Interest 
[%]</v>
      </c>
      <c r="D289" s="449" t="s">
        <v>1725</v>
      </c>
      <c r="E289" s="847" t="str">
        <f>DocLOC[[#This Row],[Category DE]]</f>
        <v>Kalk. Zins 
[%]</v>
      </c>
      <c r="F289" s="19" t="s">
        <v>1724</v>
      </c>
      <c r="G289" s="6" t="s">
        <v>1271</v>
      </c>
      <c r="H289" s="6" t="s">
        <v>105</v>
      </c>
      <c r="I289" s="6">
        <v>1</v>
      </c>
    </row>
    <row r="290" spans="1:9" ht="38.25" hidden="1" outlineLevel="1">
      <c r="B290" s="6" t="s">
        <v>24</v>
      </c>
      <c r="C290" s="847" t="str">
        <f>DocLOC[[#This Row],[Category EN]]</f>
        <v>Currency</v>
      </c>
      <c r="D290" s="449" t="s">
        <v>1598</v>
      </c>
      <c r="E290" s="847" t="str">
        <f>DocLOC[[#This Row],[Category DE]]</f>
        <v>Währung</v>
      </c>
      <c r="F290" s="19" t="s">
        <v>1597</v>
      </c>
      <c r="G290" s="6" t="s">
        <v>553</v>
      </c>
      <c r="H290" s="6" t="s">
        <v>24</v>
      </c>
      <c r="I290" s="6">
        <v>1</v>
      </c>
    </row>
    <row r="291" spans="1:9" hidden="1" outlineLevel="1">
      <c r="B291" s="6" t="s">
        <v>36</v>
      </c>
      <c r="C291" s="847">
        <f>DocLOC[[#This Row],[Category EN]]</f>
        <v>0</v>
      </c>
      <c r="E291" s="847">
        <f>DocLOC[[#This Row],[Category DE]]</f>
        <v>0</v>
      </c>
      <c r="I291" s="6">
        <v>1</v>
      </c>
    </row>
    <row r="292" spans="1:9" hidden="1" outlineLevel="1">
      <c r="B292" s="6" t="s">
        <v>36</v>
      </c>
      <c r="C292" s="847">
        <f>DocLOC[[#This Row],[Category EN]]</f>
        <v>0</v>
      </c>
      <c r="E292" s="847">
        <f>DocLOC[[#This Row],[Category DE]]</f>
        <v>0</v>
      </c>
      <c r="I292" s="6">
        <v>1</v>
      </c>
    </row>
    <row r="293" spans="1:9" hidden="1" outlineLevel="1">
      <c r="B293" s="6" t="s">
        <v>36</v>
      </c>
      <c r="C293" s="847">
        <f>DocLOC[[#This Row],[Category EN]]</f>
        <v>0</v>
      </c>
      <c r="E293" s="847">
        <f>DocLOC[[#This Row],[Category DE]]</f>
        <v>0</v>
      </c>
      <c r="I293" s="6">
        <v>1</v>
      </c>
    </row>
    <row r="294" spans="1:9" hidden="1" outlineLevel="1">
      <c r="B294" s="6" t="s">
        <v>1523</v>
      </c>
      <c r="C294" s="847">
        <f>DocLOC[[#This Row],[Category EN]]</f>
        <v>0</v>
      </c>
      <c r="E294" s="847">
        <f>DocLOC[[#This Row],[Category DE]]</f>
        <v>0</v>
      </c>
      <c r="I294" s="6">
        <v>0</v>
      </c>
    </row>
    <row r="295" spans="1:9" ht="51" hidden="1" outlineLevel="1">
      <c r="B295" s="6" t="s">
        <v>917</v>
      </c>
      <c r="C295" s="847" t="str">
        <f>DocLOC[[#This Row],[Category EN]]</f>
        <v>Data status</v>
      </c>
      <c r="D295" s="449" t="s">
        <v>1571</v>
      </c>
      <c r="E295" s="847" t="str">
        <f>DocLOC[[#This Row],[Category DE]]</f>
        <v>Datenstand</v>
      </c>
      <c r="F295" s="19" t="s">
        <v>1547</v>
      </c>
      <c r="G295" s="6" t="s">
        <v>1577</v>
      </c>
      <c r="H295" s="6" t="s">
        <v>917</v>
      </c>
      <c r="I295" s="6">
        <v>1</v>
      </c>
    </row>
    <row r="296" spans="1:9" ht="25.5" hidden="1" outlineLevel="1">
      <c r="B296" s="6" t="s">
        <v>918</v>
      </c>
      <c r="C296" s="847" t="str">
        <f>DocLOC[[#This Row],[Category EN]]</f>
        <v>Data origin</v>
      </c>
      <c r="D296" s="449" t="s">
        <v>1591</v>
      </c>
      <c r="E296" s="847" t="str">
        <f>DocLOC[[#This Row],[Category DE]]</f>
        <v>Datenherkunft</v>
      </c>
      <c r="F296" s="19" t="s">
        <v>1592</v>
      </c>
      <c r="G296" s="6" t="s">
        <v>1578</v>
      </c>
      <c r="H296" s="6" t="s">
        <v>1549</v>
      </c>
      <c r="I296" s="6">
        <v>0</v>
      </c>
    </row>
    <row r="297" spans="1:9" hidden="1" outlineLevel="1">
      <c r="B297" s="6" t="s">
        <v>916</v>
      </c>
      <c r="C297" s="847">
        <f>DocLOC[[#This Row],[Category EN]]</f>
        <v>0</v>
      </c>
      <c r="E297" s="847">
        <f>DocLOC[[#This Row],[Category DE]]</f>
        <v>0</v>
      </c>
      <c r="I297" s="6">
        <v>0</v>
      </c>
    </row>
    <row r="299" spans="1:9" collapsed="1">
      <c r="A299" s="458"/>
      <c r="B299" s="459" t="s">
        <v>856</v>
      </c>
    </row>
    <row r="300" spans="1:9" hidden="1" outlineLevel="1">
      <c r="A300" s="261"/>
      <c r="B300" s="260"/>
    </row>
    <row r="301" spans="1:9" ht="30" hidden="1" customHeight="1" outlineLevel="1">
      <c r="B301" s="6" t="s">
        <v>359</v>
      </c>
      <c r="C301" s="847" t="s">
        <v>360</v>
      </c>
      <c r="D301" s="449" t="s">
        <v>361</v>
      </c>
      <c r="E301" s="847" t="s">
        <v>362</v>
      </c>
      <c r="F301" s="19" t="s">
        <v>363</v>
      </c>
      <c r="G301" s="6" t="s">
        <v>367</v>
      </c>
      <c r="H301" s="6" t="s">
        <v>366</v>
      </c>
      <c r="I301" s="6" t="s">
        <v>720</v>
      </c>
    </row>
    <row r="302" spans="1:9" ht="38.25" hidden="1" outlineLevel="1">
      <c r="B302" s="6" t="s">
        <v>940</v>
      </c>
      <c r="C302" s="847" t="str">
        <f>IF(NOT(ISBLANK(DocInfo[[#This Row],[Body EN]])),DocInfo[[#This Row],[Category EN]],0)</f>
        <v>Part</v>
      </c>
      <c r="D302" s="449" t="s">
        <v>1502</v>
      </c>
      <c r="E302" s="847" t="str">
        <f>IF(NOT(ISBLANK(DocInfo[[#This Row],[Body DE]])),DocInfo[[#This Row],[Category DE]],0)</f>
        <v>Bauteil</v>
      </c>
      <c r="F302" s="19" t="s">
        <v>1293</v>
      </c>
      <c r="G302" s="6" t="s">
        <v>952</v>
      </c>
      <c r="H302" s="6" t="s">
        <v>940</v>
      </c>
    </row>
    <row r="303" spans="1:9" ht="25.5" hidden="1" outlineLevel="1">
      <c r="B303" s="6" t="s">
        <v>945</v>
      </c>
      <c r="C303" s="847" t="str">
        <f>IF(NOT(ISBLANK(DocInfo[[#This Row],[Body EN]])),DocInfo[[#This Row],[Category EN]],0)</f>
        <v>Shape</v>
      </c>
      <c r="D303" s="449" t="s">
        <v>1503</v>
      </c>
      <c r="E303" s="847" t="str">
        <f>IF(NOT(ISBLANK(DocInfo[[#This Row],[Body DE]])),DocInfo[[#This Row],[Category DE]],0)</f>
        <v>Form</v>
      </c>
      <c r="F303" s="19" t="s">
        <v>1282</v>
      </c>
      <c r="G303" s="6" t="s">
        <v>953</v>
      </c>
      <c r="H303" s="6" t="s">
        <v>945</v>
      </c>
      <c r="I303" s="6">
        <v>1</v>
      </c>
    </row>
    <row r="304" spans="1:9" ht="25.5" hidden="1" outlineLevel="1">
      <c r="B304" s="6" t="s">
        <v>34</v>
      </c>
      <c r="C304" s="847" t="str">
        <f>IF(NOT(ISBLANK(DocInfo[[#This Row],[Body EN]])),DocInfo[[#This Row],[Category EN]],0)</f>
        <v>Material</v>
      </c>
      <c r="D304" s="449" t="s">
        <v>1504</v>
      </c>
      <c r="E304" s="847" t="str">
        <f>IF(NOT(ISBLANK(DocInfo[[#This Row],[Body DE]])),DocInfo[[#This Row],[Category DE]],0)</f>
        <v>Material</v>
      </c>
      <c r="F304" s="19" t="s">
        <v>1284</v>
      </c>
      <c r="G304" s="6" t="s">
        <v>34</v>
      </c>
      <c r="H304" s="6" t="s">
        <v>34</v>
      </c>
      <c r="I304" s="6">
        <v>1</v>
      </c>
    </row>
    <row r="305" spans="1:9" ht="51" hidden="1" outlineLevel="1">
      <c r="B305" s="6" t="s">
        <v>135</v>
      </c>
      <c r="C305" s="847" t="str">
        <f>IF(NOT(ISBLANK(DocInfo[[#This Row],[Body EN]])),DocInfo[[#This Row],[Category EN]],0)</f>
        <v>Density 
in kg/dm³</v>
      </c>
      <c r="D305" s="449" t="s">
        <v>1505</v>
      </c>
      <c r="E305" s="847" t="str">
        <f>IF(NOT(ISBLANK(DocInfo[[#This Row],[Body DE]])),DocInfo[[#This Row],[Category DE]],0)</f>
        <v>Dichte 
in kg/dm³</v>
      </c>
      <c r="F305" s="19" t="s">
        <v>1283</v>
      </c>
      <c r="G305" s="6" t="s">
        <v>954</v>
      </c>
      <c r="H305" s="6" t="s">
        <v>941</v>
      </c>
      <c r="I305" s="6">
        <v>1</v>
      </c>
    </row>
    <row r="306" spans="1:9" hidden="1" outlineLevel="1">
      <c r="B306" s="6" t="s">
        <v>38</v>
      </c>
      <c r="C306" s="847">
        <f>IF(NOT(ISBLANK(DocInfo[[#This Row],[Body EN]])),DocInfo[[#This Row],[Category EN]],0)</f>
        <v>0</v>
      </c>
      <c r="E306" s="847">
        <f>IF(NOT(ISBLANK(DocInfo[[#This Row],[Body DE]])),DocInfo[[#This Row],[Category DE]],0)</f>
        <v>0</v>
      </c>
      <c r="G306" s="6" t="s">
        <v>38</v>
      </c>
      <c r="H306" s="6" t="s">
        <v>38</v>
      </c>
      <c r="I306" s="6">
        <v>1</v>
      </c>
    </row>
    <row r="307" spans="1:9" hidden="1" outlineLevel="1">
      <c r="B307" s="6" t="s">
        <v>121</v>
      </c>
      <c r="C307" s="847">
        <f>IF(NOT(ISBLANK(DocInfo[[#This Row],[Body EN]])),DocInfo[[#This Row],[Category EN]],0)</f>
        <v>0</v>
      </c>
      <c r="E307" s="847">
        <f>IF(NOT(ISBLANK(DocInfo[[#This Row],[Body DE]])),DocInfo[[#This Row],[Category DE]],0)</f>
        <v>0</v>
      </c>
      <c r="G307" s="6" t="s">
        <v>121</v>
      </c>
      <c r="H307" s="6" t="s">
        <v>121</v>
      </c>
      <c r="I307" s="6">
        <v>1</v>
      </c>
    </row>
    <row r="308" spans="1:9" hidden="1" outlineLevel="1">
      <c r="B308" s="6" t="s">
        <v>122</v>
      </c>
      <c r="C308" s="847">
        <f>IF(NOT(ISBLANK(DocInfo[[#This Row],[Body EN]])),DocInfo[[#This Row],[Category EN]],0)</f>
        <v>0</v>
      </c>
      <c r="E308" s="847">
        <f>IF(NOT(ISBLANK(DocInfo[[#This Row],[Body DE]])),DocInfo[[#This Row],[Category DE]],0)</f>
        <v>0</v>
      </c>
      <c r="G308" s="6" t="s">
        <v>122</v>
      </c>
      <c r="H308" s="6" t="s">
        <v>122</v>
      </c>
      <c r="I308" s="6">
        <v>1</v>
      </c>
    </row>
    <row r="309" spans="1:9" hidden="1" outlineLevel="1">
      <c r="B309" s="6" t="s">
        <v>183</v>
      </c>
      <c r="C309" s="847">
        <f>IF(NOT(ISBLANK(DocInfo[[#This Row],[Body EN]])),DocInfo[[#This Row],[Category EN]],0)</f>
        <v>0</v>
      </c>
      <c r="E309" s="847">
        <f>IF(NOT(ISBLANK(DocInfo[[#This Row],[Body DE]])),DocInfo[[#This Row],[Category DE]],0)</f>
        <v>0</v>
      </c>
      <c r="G309" s="6" t="s">
        <v>183</v>
      </c>
      <c r="H309" s="6" t="s">
        <v>183</v>
      </c>
      <c r="I309" s="6">
        <v>1</v>
      </c>
    </row>
    <row r="310" spans="1:9" hidden="1" outlineLevel="1">
      <c r="B310" s="6" t="s">
        <v>947</v>
      </c>
      <c r="C310" s="847">
        <f>IF(NOT(ISBLANK(DocInfo[[#This Row],[Body EN]])),DocInfo[[#This Row],[Category EN]],0)</f>
        <v>0</v>
      </c>
      <c r="E310" s="847">
        <f>IF(NOT(ISBLANK(DocInfo[[#This Row],[Body DE]])),DocInfo[[#This Row],[Category DE]],0)</f>
        <v>0</v>
      </c>
      <c r="G310" s="6" t="s">
        <v>955</v>
      </c>
      <c r="H310" s="6" t="s">
        <v>947</v>
      </c>
      <c r="I310" s="6">
        <v>1</v>
      </c>
    </row>
    <row r="311" spans="1:9" hidden="1" outlineLevel="1">
      <c r="B311" s="6" t="s">
        <v>948</v>
      </c>
      <c r="C311" s="847">
        <f>IF(NOT(ISBLANK(DocInfo[[#This Row],[Body EN]])),DocInfo[[#This Row],[Category EN]],0)</f>
        <v>0</v>
      </c>
      <c r="E311" s="847">
        <f>IF(NOT(ISBLANK(DocInfo[[#This Row],[Body DE]])),DocInfo[[#This Row],[Category DE]],0)</f>
        <v>0</v>
      </c>
      <c r="G311" s="6" t="s">
        <v>956</v>
      </c>
      <c r="H311" s="6" t="s">
        <v>948</v>
      </c>
      <c r="I311" s="6">
        <v>1</v>
      </c>
    </row>
    <row r="312" spans="1:9" ht="76.5" hidden="1" outlineLevel="1">
      <c r="B312" s="6" t="s">
        <v>439</v>
      </c>
      <c r="C312" s="847" t="str">
        <f>IF(NOT(ISBLANK(DocInfo[[#This Row],[Body EN]])),DocInfo[[#This Row],[Category EN]],0)</f>
        <v>Correction factor</v>
      </c>
      <c r="D312" s="449" t="s">
        <v>1511</v>
      </c>
      <c r="E312" s="847" t="str">
        <f>IF(NOT(ISBLANK(DocInfo[[#This Row],[Body DE]])),DocInfo[[#This Row],[Category DE]],0)</f>
        <v>Korrekturfaktor</v>
      </c>
      <c r="F312" s="19" t="s">
        <v>1294</v>
      </c>
      <c r="G312" s="6" t="s">
        <v>957</v>
      </c>
      <c r="H312" s="6" t="s">
        <v>1285</v>
      </c>
      <c r="I312" s="6">
        <v>1</v>
      </c>
    </row>
    <row r="313" spans="1:9" hidden="1" outlineLevel="1">
      <c r="B313" s="6" t="s">
        <v>1280</v>
      </c>
      <c r="C313" s="847" t="str">
        <f>IF(NOT(ISBLANK(DocInfo[[#This Row],[Body EN]])),DocInfo[[#This Row],[Category EN]],0)</f>
        <v>Surface area</v>
      </c>
      <c r="D313" s="449" t="s">
        <v>1506</v>
      </c>
      <c r="E313" s="847" t="str">
        <f>IF(NOT(ISBLANK(DocInfo[[#This Row],[Body DE]])),DocInfo[[#This Row],[Category DE]],0)</f>
        <v>Oberfläche</v>
      </c>
      <c r="F313" s="19" t="s">
        <v>1298</v>
      </c>
      <c r="G313" s="6" t="s">
        <v>1288</v>
      </c>
      <c r="H313" s="6" t="s">
        <v>1280</v>
      </c>
      <c r="I313" s="6">
        <v>1</v>
      </c>
    </row>
    <row r="314" spans="1:9" hidden="1" outlineLevel="1">
      <c r="B314" s="6" t="s">
        <v>1281</v>
      </c>
      <c r="C314" s="847" t="str">
        <f>IF(NOT(ISBLANK(DocInfo[[#This Row],[Body EN]])),DocInfo[[#This Row],[Category EN]],0)</f>
        <v>Projected area</v>
      </c>
      <c r="D314" s="449" t="s">
        <v>1507</v>
      </c>
      <c r="E314" s="847" t="str">
        <f>IF(NOT(ISBLANK(DocInfo[[#This Row],[Body DE]])),DocInfo[[#This Row],[Category DE]],0)</f>
        <v>Projizierte Fläche</v>
      </c>
      <c r="F314" s="19" t="s">
        <v>1299</v>
      </c>
      <c r="G314" s="6" t="s">
        <v>1286</v>
      </c>
      <c r="H314" s="6" t="s">
        <v>1287</v>
      </c>
      <c r="I314" s="6">
        <v>1</v>
      </c>
    </row>
    <row r="315" spans="1:9" hidden="1" outlineLevel="1">
      <c r="B315" s="6" t="s">
        <v>949</v>
      </c>
      <c r="C315" s="847" t="str">
        <f>IF(NOT(ISBLANK(DocInfo[[#This Row],[Body EN]])),DocInfo[[#This Row],[Category EN]],0)</f>
        <v>Volume</v>
      </c>
      <c r="D315" s="449" t="s">
        <v>1508</v>
      </c>
      <c r="E315" s="847" t="str">
        <f>IF(NOT(ISBLANK(DocInfo[[#This Row],[Body DE]])),DocInfo[[#This Row],[Category DE]],0)</f>
        <v>Volumen</v>
      </c>
      <c r="F315" s="19" t="s">
        <v>1295</v>
      </c>
      <c r="G315" s="6" t="s">
        <v>1289</v>
      </c>
      <c r="H315" s="6" t="s">
        <v>949</v>
      </c>
      <c r="I315" s="6">
        <v>1</v>
      </c>
    </row>
    <row r="316" spans="1:9" hidden="1" outlineLevel="1">
      <c r="B316" s="6" t="s">
        <v>950</v>
      </c>
      <c r="C316" s="847" t="str">
        <f>IF(NOT(ISBLANK(DocInfo[[#This Row],[Body EN]])),DocInfo[[#This Row],[Category EN]],0)</f>
        <v>Mass in g</v>
      </c>
      <c r="D316" s="449" t="s">
        <v>1509</v>
      </c>
      <c r="E316" s="847" t="str">
        <f>IF(NOT(ISBLANK(DocInfo[[#This Row],[Body DE]])),DocInfo[[#This Row],[Category DE]],0)</f>
        <v>Masse in g</v>
      </c>
      <c r="F316" s="19" t="s">
        <v>1296</v>
      </c>
      <c r="G316" s="6" t="s">
        <v>1290</v>
      </c>
      <c r="H316" s="6" t="s">
        <v>950</v>
      </c>
      <c r="I316" s="6">
        <v>1</v>
      </c>
    </row>
    <row r="317" spans="1:9" hidden="1" outlineLevel="1">
      <c r="B317" s="6" t="s">
        <v>951</v>
      </c>
      <c r="C317" s="847" t="str">
        <f>IF(NOT(ISBLANK(DocInfo[[#This Row],[Body EN]])),DocInfo[[#This Row],[Category EN]],0)</f>
        <v>Mass in kg</v>
      </c>
      <c r="D317" s="449" t="s">
        <v>1510</v>
      </c>
      <c r="E317" s="847" t="str">
        <f>IF(NOT(ISBLANK(DocInfo[[#This Row],[Body DE]])),DocInfo[[#This Row],[Category DE]],0)</f>
        <v>Masse in kg</v>
      </c>
      <c r="F317" s="19" t="s">
        <v>1297</v>
      </c>
      <c r="G317" s="6" t="s">
        <v>1291</v>
      </c>
      <c r="H317" s="6" t="s">
        <v>1292</v>
      </c>
      <c r="I317" s="6">
        <v>1</v>
      </c>
    </row>
    <row r="318" spans="1:9" hidden="1" outlineLevel="1">
      <c r="B318" s="6" t="s">
        <v>170</v>
      </c>
      <c r="C318" s="847">
        <f>IF(NOT(ISBLANK(DocInfo[[#This Row],[Body EN]])),DocInfo[[#This Row],[Category EN]],0)</f>
        <v>0</v>
      </c>
      <c r="E318" s="847">
        <f>IF(NOT(ISBLANK(DocInfo[[#This Row],[Body DE]])),DocInfo[[#This Row],[Category DE]],0)</f>
        <v>0</v>
      </c>
      <c r="G318" s="6" t="s">
        <v>171</v>
      </c>
      <c r="H318" s="6" t="s">
        <v>170</v>
      </c>
      <c r="I318" s="6">
        <v>1</v>
      </c>
    </row>
    <row r="320" spans="1:9" collapsed="1">
      <c r="A320" s="458"/>
      <c r="B320" s="459" t="s">
        <v>1915</v>
      </c>
    </row>
    <row r="321" spans="1:12" hidden="1" outlineLevel="1">
      <c r="A321" s="261"/>
      <c r="B321" s="260"/>
    </row>
    <row r="322" spans="1:12" ht="30" hidden="1" customHeight="1" outlineLevel="1">
      <c r="B322" s="6" t="s">
        <v>559</v>
      </c>
      <c r="C322" s="847" t="s">
        <v>360</v>
      </c>
      <c r="D322" s="449" t="s">
        <v>361</v>
      </c>
      <c r="E322" s="847" t="s">
        <v>362</v>
      </c>
      <c r="F322" s="19" t="s">
        <v>363</v>
      </c>
      <c r="G322" s="6" t="s">
        <v>367</v>
      </c>
      <c r="H322" s="6" t="s">
        <v>368</v>
      </c>
      <c r="I322" s="6" t="s">
        <v>366</v>
      </c>
      <c r="J322" s="6" t="s">
        <v>369</v>
      </c>
      <c r="K322" s="6" t="s">
        <v>720</v>
      </c>
      <c r="L322" s="6"/>
    </row>
    <row r="323" spans="1:12" ht="25.5" hidden="1" outlineLevel="1">
      <c r="B323" s="6" t="s">
        <v>148</v>
      </c>
      <c r="C323" s="847" t="str">
        <f>DocIndirectCosts[[#This Row],[Category EN]]&amp;IF(LEN(DocIndirectCosts[[#This Row],[Subcategory EN]])&gt;0," 
" &amp;DocIndirectCosts[[#This Row],[Subcategory EN]],)</f>
        <v>Indirect material class 
Description</v>
      </c>
      <c r="D323" s="449" t="s">
        <v>2213</v>
      </c>
      <c r="E323" s="847" t="str">
        <f>DocIndirectCosts[[#This Row],[Category DE]]&amp;IF(LEN(DocIndirectCosts[[#This Row],[Subcategory DE]])&gt;0," 
" &amp;DocIndirectCosts[[#This Row],[Subcategory DE]],)</f>
        <v>MGK Materialklasse 
Bezeichnung</v>
      </c>
      <c r="F323" s="19" t="s">
        <v>2195</v>
      </c>
      <c r="G323" s="6" t="s">
        <v>2163</v>
      </c>
      <c r="H323" s="6" t="s">
        <v>69</v>
      </c>
      <c r="I323" s="6" t="s">
        <v>2165</v>
      </c>
      <c r="J323" s="6" t="s">
        <v>2</v>
      </c>
      <c r="K323" s="6">
        <v>1</v>
      </c>
      <c r="L323" s="6"/>
    </row>
    <row r="324" spans="1:12" ht="25.5" hidden="1" outlineLevel="1">
      <c r="B324" s="6" t="s">
        <v>50</v>
      </c>
      <c r="C324" s="847" t="str">
        <f>DocIndirectCosts[[#This Row],[Category EN]]&amp;IF(LEN(DocIndirectCosts[[#This Row],[Subcategory EN]])&gt;0," 
" &amp;DocIndirectCosts[[#This Row],[Subcategory EN]],)</f>
        <v>Indirect material class 
Description DE</v>
      </c>
      <c r="D324" s="449" t="s">
        <v>2214</v>
      </c>
      <c r="E324" s="847" t="str">
        <f>DocIndirectCosts[[#This Row],[Category DE]]&amp;IF(LEN(DocIndirectCosts[[#This Row],[Subcategory DE]])&gt;0," 
" &amp;DocIndirectCosts[[#This Row],[Subcategory DE]],)</f>
        <v>MGK Materialklasse 
Bezeichnung DE</v>
      </c>
      <c r="F324" s="19" t="s">
        <v>2196</v>
      </c>
      <c r="G324" s="6" t="s">
        <v>2163</v>
      </c>
      <c r="H324" s="6" t="s">
        <v>1205</v>
      </c>
      <c r="I324" s="6" t="s">
        <v>2165</v>
      </c>
      <c r="J324" s="6" t="s">
        <v>1200</v>
      </c>
      <c r="K324" s="6">
        <v>1</v>
      </c>
      <c r="L324" s="6"/>
    </row>
    <row r="325" spans="1:12" ht="25.5" hidden="1" outlineLevel="1">
      <c r="B325" s="6" t="s">
        <v>54</v>
      </c>
      <c r="C325" s="847" t="str">
        <f>DocIndirectCosts[[#This Row],[Category EN]]&amp;IF(LEN(DocIndirectCosts[[#This Row],[Subcategory EN]])&gt;0," 
" &amp;DocIndirectCosts[[#This Row],[Subcategory EN]],)</f>
        <v>Indirect material class 
Description EN</v>
      </c>
      <c r="D325" s="449" t="s">
        <v>2215</v>
      </c>
      <c r="E325" s="847" t="str">
        <f>DocIndirectCosts[[#This Row],[Category DE]]&amp;IF(LEN(DocIndirectCosts[[#This Row],[Subcategory DE]])&gt;0," 
" &amp;DocIndirectCosts[[#This Row],[Subcategory DE]],)</f>
        <v>MGK Materialklasse 
Bezeichnung EN</v>
      </c>
      <c r="F325" s="19" t="s">
        <v>2197</v>
      </c>
      <c r="G325" s="6" t="s">
        <v>2163</v>
      </c>
      <c r="H325" s="6" t="s">
        <v>1206</v>
      </c>
      <c r="I325" s="6" t="s">
        <v>2165</v>
      </c>
      <c r="J325" s="6" t="s">
        <v>1197</v>
      </c>
      <c r="K325" s="6">
        <v>1</v>
      </c>
      <c r="L325" s="6"/>
    </row>
    <row r="326" spans="1:12" ht="89.25" hidden="1" outlineLevel="1">
      <c r="B326" s="6" t="s">
        <v>988</v>
      </c>
      <c r="C326" s="847" t="str">
        <f>DocIndirectCosts[[#This Row],[Category EN]]&amp;IF(LEN(DocIndirectCosts[[#This Row],[Subcategory EN]])&gt;0," 
" &amp;DocIndirectCosts[[#This Row],[Subcategory EN]],)</f>
        <v>Indirect material class 
Order effort</v>
      </c>
      <c r="D326" s="449" t="s">
        <v>1662</v>
      </c>
      <c r="E326" s="847" t="str">
        <f>DocIndirectCosts[[#This Row],[Category DE]]&amp;IF(LEN(DocIndirectCosts[[#This Row],[Subcategory DE]])&gt;0," 
" &amp;DocIndirectCosts[[#This Row],[Subcategory DE]],)</f>
        <v>MGK Materialklasse 
Bestellaufwand</v>
      </c>
      <c r="F326" s="19" t="s">
        <v>1658</v>
      </c>
      <c r="G326" s="6" t="s">
        <v>2163</v>
      </c>
      <c r="H326" s="6" t="s">
        <v>1168</v>
      </c>
      <c r="I326" s="6" t="s">
        <v>2165</v>
      </c>
      <c r="J326" s="6" t="s">
        <v>988</v>
      </c>
      <c r="K326" s="6">
        <v>1</v>
      </c>
      <c r="L326" s="6"/>
    </row>
    <row r="327" spans="1:12" ht="52.5" hidden="1" customHeight="1" outlineLevel="1">
      <c r="B327" s="6" t="s">
        <v>989</v>
      </c>
      <c r="C327" s="847" t="str">
        <f>DocIndirectCosts[[#This Row],[Category EN]]&amp;IF(LEN(DocIndirectCosts[[#This Row],[Subcategory EN]])&gt;0," 
" &amp;DocIndirectCosts[[#This Row],[Subcategory EN]],)</f>
        <v>Indirect material class 
Storage type</v>
      </c>
      <c r="D327" s="449" t="s">
        <v>1663</v>
      </c>
      <c r="E327" s="847" t="str">
        <f>DocIndirectCosts[[#This Row],[Category DE]]&amp;IF(LEN(DocIndirectCosts[[#This Row],[Subcategory DE]])&gt;0," 
" &amp;DocIndirectCosts[[#This Row],[Subcategory DE]],)</f>
        <v>MGK Materialklasse 
Lagerart</v>
      </c>
      <c r="F327" s="19" t="s">
        <v>1659</v>
      </c>
      <c r="G327" s="6" t="s">
        <v>2163</v>
      </c>
      <c r="H327" s="6" t="s">
        <v>1191</v>
      </c>
      <c r="I327" s="6" t="s">
        <v>2165</v>
      </c>
      <c r="J327" s="6" t="s">
        <v>989</v>
      </c>
      <c r="K327" s="6">
        <v>1</v>
      </c>
      <c r="L327" s="6"/>
    </row>
    <row r="328" spans="1:12" ht="38.25" hidden="1" outlineLevel="1">
      <c r="B328" s="6" t="s">
        <v>1045</v>
      </c>
      <c r="C328" s="847" t="str">
        <f>DocIndirectCosts[[#This Row],[Category EN]]&amp;IF(LEN(DocIndirectCosts[[#This Row],[Subcategory EN]])&gt;0," 
" &amp;DocIndirectCosts[[#This Row],[Subcategory EN]],)</f>
        <v>Indirect material class 
Handling effort</v>
      </c>
      <c r="D328" s="449" t="s">
        <v>1664</v>
      </c>
      <c r="E328" s="847" t="str">
        <f>DocIndirectCosts[[#This Row],[Category DE]]&amp;IF(LEN(DocIndirectCosts[[#This Row],[Subcategory DE]])&gt;0," 
" &amp;DocIndirectCosts[[#This Row],[Subcategory DE]],)</f>
        <v>MGK Materialklasse 
Handlingsaufwand</v>
      </c>
      <c r="F328" s="19" t="s">
        <v>1914</v>
      </c>
      <c r="G328" s="6" t="s">
        <v>2163</v>
      </c>
      <c r="H328" s="6" t="s">
        <v>1169</v>
      </c>
      <c r="I328" s="6" t="s">
        <v>2165</v>
      </c>
      <c r="J328" s="6" t="s">
        <v>1068</v>
      </c>
      <c r="K328" s="6">
        <v>1</v>
      </c>
      <c r="L328" s="6"/>
    </row>
    <row r="329" spans="1:12" ht="38.25" hidden="1" outlineLevel="1">
      <c r="B329" s="6" t="s">
        <v>990</v>
      </c>
      <c r="C329" s="847" t="str">
        <f>DocIndirectCosts[[#This Row],[Category EN]]&amp;IF(LEN(DocIndirectCosts[[#This Row],[Subcategory EN]])&gt;0," 
" &amp;DocIndirectCosts[[#This Row],[Subcategory EN]],)</f>
        <v>Indirect material class 
Inspection effort</v>
      </c>
      <c r="D329" s="449" t="s">
        <v>1665</v>
      </c>
      <c r="E329" s="847" t="str">
        <f>DocIndirectCosts[[#This Row],[Category DE]]&amp;IF(LEN(DocIndirectCosts[[#This Row],[Subcategory DE]])&gt;0," 
" &amp;DocIndirectCosts[[#This Row],[Subcategory DE]],)</f>
        <v>MGK Materialklasse 
Prüfaufwand</v>
      </c>
      <c r="F329" s="19" t="s">
        <v>1657</v>
      </c>
      <c r="G329" s="6" t="s">
        <v>2163</v>
      </c>
      <c r="H329" s="6" t="s">
        <v>1170</v>
      </c>
      <c r="I329" s="6" t="s">
        <v>2165</v>
      </c>
      <c r="J329" s="6" t="s">
        <v>990</v>
      </c>
      <c r="K329" s="6">
        <v>1</v>
      </c>
      <c r="L329" s="6"/>
    </row>
    <row r="330" spans="1:12" ht="51" hidden="1" outlineLevel="1">
      <c r="B330" s="6" t="s">
        <v>1013</v>
      </c>
      <c r="C330" s="847" t="str">
        <f>DocIndirectCosts[[#This Row],[Category EN]]&amp;IF(LEN(DocIndirectCosts[[#This Row],[Subcategory EN]])&gt;0," 
" &amp;DocIndirectCosts[[#This Row],[Subcategory EN]],)</f>
        <v>Indirect material class 
Specification</v>
      </c>
      <c r="D330" s="449" t="s">
        <v>1666</v>
      </c>
      <c r="E330" s="847" t="str">
        <f>DocIndirectCosts[[#This Row],[Category DE]]&amp;IF(LEN(DocIndirectCosts[[#This Row],[Subcategory DE]])&gt;0," 
" &amp;DocIndirectCosts[[#This Row],[Subcategory DE]],)</f>
        <v>MGK Materialklasse 
Spezifiaktion</v>
      </c>
      <c r="F330" s="19" t="s">
        <v>1656</v>
      </c>
      <c r="G330" s="6" t="s">
        <v>2163</v>
      </c>
      <c r="H330" s="6" t="s">
        <v>1171</v>
      </c>
      <c r="I330" s="6" t="s">
        <v>2165</v>
      </c>
      <c r="J330" s="6" t="s">
        <v>1015</v>
      </c>
      <c r="K330" s="6">
        <v>1</v>
      </c>
      <c r="L330" s="6"/>
    </row>
    <row r="331" spans="1:12" ht="51" hidden="1" outlineLevel="1">
      <c r="B331" s="6" t="s">
        <v>2182</v>
      </c>
      <c r="C331" s="847" t="str">
        <f>DocIndirectCosts[[#This Row],[Category EN]]&amp;IF(LEN(DocIndirectCosts[[#This Row],[Subcategory EN]])&gt;0," 
" &amp;DocIndirectCosts[[#This Row],[Subcategory EN]],)</f>
        <v>Indirect material class 
Ordering
cycle</v>
      </c>
      <c r="D331" s="449" t="s">
        <v>2220</v>
      </c>
      <c r="E331" s="847" t="str">
        <f>DocIndirectCosts[[#This Row],[Category DE]]&amp;IF(LEN(DocIndirectCosts[[#This Row],[Subcategory DE]])&gt;0," 
" &amp;DocIndirectCosts[[#This Row],[Subcategory DE]],)</f>
        <v>MGK Materialklasse 
Bestellzyklus</v>
      </c>
      <c r="F331" s="19" t="s">
        <v>2219</v>
      </c>
      <c r="G331" s="6" t="s">
        <v>2163</v>
      </c>
      <c r="H331" s="6" t="s">
        <v>2218</v>
      </c>
      <c r="I331" s="6" t="s">
        <v>2165</v>
      </c>
      <c r="J331" s="6" t="s">
        <v>2182</v>
      </c>
      <c r="K331" s="6"/>
      <c r="L331" s="6"/>
    </row>
    <row r="332" spans="1:12" ht="76.5" hidden="1" outlineLevel="1">
      <c r="B332" s="6" t="s">
        <v>1018</v>
      </c>
      <c r="C332" s="847" t="str">
        <f>DocIndirectCosts[[#This Row],[Category EN]]&amp;IF(LEN(DocIndirectCosts[[#This Row],[Subcategory EN]])&gt;0," 
" &amp;DocIndirectCosts[[#This Row],[Subcategory EN]],)</f>
        <v>Indirect material class 
Stock range_x000D_
in weeks</v>
      </c>
      <c r="D332" s="449" t="s">
        <v>1667</v>
      </c>
      <c r="E332" s="847" t="str">
        <f>DocIndirectCosts[[#This Row],[Category DE]]&amp;IF(LEN(DocIndirectCosts[[#This Row],[Subcategory DE]])&gt;0," 
" &amp;DocIndirectCosts[[#This Row],[Subcategory DE]],)</f>
        <v>MGK Materialklasse 
Lagerreichweite in Wochen</v>
      </c>
      <c r="F332" s="19" t="s">
        <v>2221</v>
      </c>
      <c r="G332" s="6" t="s">
        <v>2163</v>
      </c>
      <c r="H332" s="6" t="s">
        <v>1172</v>
      </c>
      <c r="I332" s="6" t="s">
        <v>2165</v>
      </c>
      <c r="J332" s="6" t="s">
        <v>1210</v>
      </c>
      <c r="K332" s="6">
        <v>1</v>
      </c>
      <c r="L332" s="6"/>
    </row>
    <row r="333" spans="1:12" ht="89.25" hidden="1" outlineLevel="1">
      <c r="B333" s="6" t="s">
        <v>1526</v>
      </c>
      <c r="C333" s="847" t="str">
        <f>DocIndirectCosts[[#This Row],[Category EN]]&amp;IF(LEN(DocIndirectCosts[[#This Row],[Subcategory EN]])&gt;0," 
" &amp;DocIndirectCosts[[#This Row],[Subcategory EN]],)</f>
        <v>Indirect material class 
Quantity per storage unit [pcs.]</v>
      </c>
      <c r="D333" s="449" t="s">
        <v>1668</v>
      </c>
      <c r="E333" s="847" t="str">
        <f>DocIndirectCosts[[#This Row],[Category DE]]&amp;IF(LEN(DocIndirectCosts[[#This Row],[Subcategory DE]])&gt;0," 
" &amp;DocIndirectCosts[[#This Row],[Subcategory DE]],)</f>
        <v>MGK Materialklasse 
Menge je Lagereinheit [Stk.]</v>
      </c>
      <c r="F333" s="19" t="s">
        <v>1660</v>
      </c>
      <c r="G333" s="6" t="s">
        <v>2163</v>
      </c>
      <c r="H333" s="6" t="str">
        <f>"Quantity per storage unit ["&amp;"pcs."&amp;"]"</f>
        <v>Quantity per storage unit [pcs.]</v>
      </c>
      <c r="I333" s="6" t="s">
        <v>2165</v>
      </c>
      <c r="J333" s="6" t="str">
        <f>"Menge je Lagereinheit ["&amp;DocIndirectCosts[[#This Row],[Range]]&amp;"]"</f>
        <v>Menge je Lagereinheit [Stk.]</v>
      </c>
      <c r="K333" s="6">
        <v>1</v>
      </c>
      <c r="L333" s="6"/>
    </row>
    <row r="334" spans="1:12" ht="51" hidden="1" outlineLevel="1">
      <c r="B334" s="6" t="s">
        <v>1237</v>
      </c>
      <c r="C334" s="847" t="str">
        <f>DocIndirectCosts[[#This Row],[Category EN]]&amp;IF(LEN(DocIndirectCosts[[#This Row],[Subcategory EN]])&gt;0," 
" &amp;DocIndirectCosts[[#This Row],[Subcategory EN]],)</f>
        <v>Indirect material class 
Quantity per storage unit [kg]</v>
      </c>
      <c r="D334" s="449" t="str">
        <f>"Quantity of the material in "&amp;DocIndirectCosts[[#This Row],[Range]]&amp;" that can be grouped into one storage unit.
If this cell is empty, the corresponding unit is not provided for materials of this group by default, but can be added if required."</f>
        <v>Quantity of the material in kg that can be grouped into one storage unit.
If this cell is empty, the corresponding unit is not provided for materials of this group by default, but can be added if required.</v>
      </c>
      <c r="E334" s="847" t="str">
        <f>DocIndirectCosts[[#This Row],[Category DE]]&amp;IF(LEN(DocIndirectCosts[[#This Row],[Subcategory DE]])&gt;0," 
" &amp;DocIndirectCosts[[#This Row],[Subcategory DE]],)</f>
        <v>MGK Materialklasse 
Menge je Lagereinheit [kg]</v>
      </c>
      <c r="F334"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kg, die sich zu einer Lagereinheit zusammenfassen lässt.
Ist diese Zelle leer, ist die entsprechende Einheit für Materialien dieser Gruppe standardmäßig nicht vorgesehen, kann aber bei Bedarf ergänzt werden.</v>
      </c>
      <c r="G334" s="6" t="s">
        <v>2163</v>
      </c>
      <c r="H334" s="6" t="str">
        <f>"Quantity per storage unit ["&amp;DocIndirectCosts[[#This Row],[Range]]&amp;"]"</f>
        <v>Quantity per storage unit [kg]</v>
      </c>
      <c r="I334" s="6" t="s">
        <v>2165</v>
      </c>
      <c r="J334" s="6" t="str">
        <f>"Menge je Lagereinheit ["&amp;DocIndirectCosts[[#This Row],[Range]]&amp;"]"</f>
        <v>Menge je Lagereinheit [kg]</v>
      </c>
      <c r="K334" s="6">
        <v>1</v>
      </c>
      <c r="L334" s="6"/>
    </row>
    <row r="335" spans="1:12" ht="51" hidden="1" outlineLevel="1">
      <c r="B335" s="6" t="s">
        <v>1265</v>
      </c>
      <c r="C335" s="847" t="str">
        <f>DocIndirectCosts[[#This Row],[Category EN]]&amp;IF(LEN(DocIndirectCosts[[#This Row],[Subcategory EN]])&gt;0," 
" &amp;DocIndirectCosts[[#This Row],[Subcategory EN]],)</f>
        <v>Indirect material class 
Quantity per storage unit [l]</v>
      </c>
      <c r="D335" s="449" t="str">
        <f>"Quantity of the material in "&amp;DocIndirectCosts[[#This Row],[Range]]&amp;" that can be grouped into one storage unit.
If this cell is empty, the corresponding unit is not provided for materials of this group by default, but can be added if required."</f>
        <v>Quantity of the material in l that can be grouped into one storage unit.
If this cell is empty, the corresponding unit is not provided for materials of this group by default, but can be added if required.</v>
      </c>
      <c r="E335" s="847" t="str">
        <f>DocIndirectCosts[[#This Row],[Category DE]]&amp;IF(LEN(DocIndirectCosts[[#This Row],[Subcategory DE]])&gt;0," 
" &amp;DocIndirectCosts[[#This Row],[Subcategory DE]],)</f>
        <v>MGK Materialklasse 
Menge je Lagereinheit [l]</v>
      </c>
      <c r="F335"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l, die sich zu einer Lagereinheit zusammenfassen lässt.
Ist diese Zelle leer, ist die entsprechende Einheit für Materialien dieser Gruppe standardmäßig nicht vorgesehen, kann aber bei Bedarf ergänzt werden.</v>
      </c>
      <c r="G335" s="6" t="s">
        <v>2163</v>
      </c>
      <c r="H335" s="6" t="str">
        <f>"Quantity per storage unit ["&amp;DocIndirectCosts[[#This Row],[Range]]&amp;"]"</f>
        <v>Quantity per storage unit [l]</v>
      </c>
      <c r="I335" s="6" t="s">
        <v>2165</v>
      </c>
      <c r="J335" s="6" t="str">
        <f>"Menge je Lagereinheit ["&amp;DocIndirectCosts[[#This Row],[Range]]&amp;"]"</f>
        <v>Menge je Lagereinheit [l]</v>
      </c>
      <c r="K335" s="6">
        <v>1</v>
      </c>
      <c r="L335" s="6"/>
    </row>
    <row r="336" spans="1:12" ht="51" hidden="1" outlineLevel="1">
      <c r="B336" s="6" t="s">
        <v>1266</v>
      </c>
      <c r="C336" s="847" t="str">
        <f>DocIndirectCosts[[#This Row],[Category EN]]&amp;IF(LEN(DocIndirectCosts[[#This Row],[Subcategory EN]])&gt;0," 
" &amp;DocIndirectCosts[[#This Row],[Subcategory EN]],)</f>
        <v>Indirect material class 
Quantity per storage unit [m]</v>
      </c>
      <c r="D336" s="449" t="str">
        <f>"Quantity of the material in "&amp;DocIndirectCosts[[#This Row],[Range]]&amp;" that can be grouped into one storage unit.
If this cell is empty, the corresponding unit is not provided for materials of this group by default, but can be added if required."</f>
        <v>Quantity of the material in m that can be grouped into one storage unit.
If this cell is empty, the corresponding unit is not provided for materials of this group by default, but can be added if required.</v>
      </c>
      <c r="E336" s="847" t="str">
        <f>DocIndirectCosts[[#This Row],[Category DE]]&amp;IF(LEN(DocIndirectCosts[[#This Row],[Subcategory DE]])&gt;0," 
" &amp;DocIndirectCosts[[#This Row],[Subcategory DE]],)</f>
        <v>MGK Materialklasse 
Menge je Lagereinheit [m]</v>
      </c>
      <c r="F336"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 die sich zu einer Lagereinheit zusammenfassen lässt.
Ist diese Zelle leer, ist die entsprechende Einheit für Materialien dieser Gruppe standardmäßig nicht vorgesehen, kann aber bei Bedarf ergänzt werden.</v>
      </c>
      <c r="G336" s="6" t="s">
        <v>2163</v>
      </c>
      <c r="H336" s="6" t="str">
        <f>"Quantity per storage unit ["&amp;DocIndirectCosts[[#This Row],[Range]]&amp;"]"</f>
        <v>Quantity per storage unit [m]</v>
      </c>
      <c r="I336" s="6" t="s">
        <v>2165</v>
      </c>
      <c r="J336" s="6" t="str">
        <f>"Menge je Lagereinheit ["&amp;DocIndirectCosts[[#This Row],[Range]]&amp;"]"</f>
        <v>Menge je Lagereinheit [m]</v>
      </c>
      <c r="K336" s="6">
        <v>1</v>
      </c>
      <c r="L336" s="6"/>
    </row>
    <row r="337" spans="2:12" ht="51" hidden="1" outlineLevel="1">
      <c r="B337" s="6" t="s">
        <v>913</v>
      </c>
      <c r="C337" s="847" t="str">
        <f>DocIndirectCosts[[#This Row],[Category EN]]&amp;IF(LEN(DocIndirectCosts[[#This Row],[Subcategory EN]])&gt;0," 
" &amp;DocIndirectCosts[[#This Row],[Subcategory EN]],)</f>
        <v>Indirect material class 
Quantity per storage unit [m²]</v>
      </c>
      <c r="D337" s="449" t="str">
        <f>"Quantity of the material in "&amp;DocIndirectCosts[[#This Row],[Range]]&amp;" that can be grouped into one storage unit.
If this cell is empty, the corresponding unit is not provided for materials of this group by default, but can be added if required."</f>
        <v>Quantity of the material in m² that can be grouped into one storage unit.
If this cell is empty, the corresponding unit is not provided for materials of this group by default, but can be added if required.</v>
      </c>
      <c r="E337" s="847" t="str">
        <f>DocIndirectCosts[[#This Row],[Category DE]]&amp;IF(LEN(DocIndirectCosts[[#This Row],[Subcategory DE]])&gt;0," 
" &amp;DocIndirectCosts[[#This Row],[Subcategory DE]],)</f>
        <v>MGK Materialklasse 
Menge je Lagereinheit [m²]</v>
      </c>
      <c r="F337"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m², die sich zu einer Lagereinheit zusammenfassen lässt.
Ist diese Zelle leer, ist die entsprechende Einheit für Materialien dieser Gruppe standardmäßig nicht vorgesehen, kann aber bei Bedarf ergänzt werden.</v>
      </c>
      <c r="G337" s="6" t="s">
        <v>2163</v>
      </c>
      <c r="H337" s="6" t="str">
        <f>"Quantity per storage unit ["&amp;DocIndirectCosts[[#This Row],[Range]]&amp;"]"</f>
        <v>Quantity per storage unit [m²]</v>
      </c>
      <c r="I337" s="6" t="s">
        <v>2165</v>
      </c>
      <c r="J337" s="6" t="str">
        <f>"Menge je Lagereinheit ["&amp;DocIndirectCosts[[#This Row],[Range]]&amp;"]"</f>
        <v>Menge je Lagereinheit [m²]</v>
      </c>
      <c r="K337" s="6">
        <v>1</v>
      </c>
      <c r="L337" s="6"/>
    </row>
    <row r="338" spans="2:12" ht="51" hidden="1" outlineLevel="1">
      <c r="B338" s="6" t="s">
        <v>1267</v>
      </c>
      <c r="C338" s="847" t="str">
        <f>DocIndirectCosts[[#This Row],[Category EN]]&amp;IF(LEN(DocIndirectCosts[[#This Row],[Subcategory EN]])&gt;0," 
" &amp;DocIndirectCosts[[#This Row],[Subcategory EN]],)</f>
        <v>Indirect material class 
Quantity per storage unit [m³]</v>
      </c>
      <c r="D338" s="449" t="str">
        <f>"Quantity of the material in "&amp;DocIndirectCosts[[#This Row],[Range]]&amp;" that can be grouped into one storage unit.
If this cell is empty, the corresponding unit is not provided for materials of this group by default, but can be added if required."</f>
        <v>Quantity of the material in m³ that can be grouped into one storage unit.
If this cell is empty, the corresponding unit is not provided for materials of this group by default, but can be added if required.</v>
      </c>
      <c r="E338" s="847" t="str">
        <f>DocIndirectCosts[[#This Row],[Category DE]]&amp;IF(LEN(DocIndirectCosts[[#This Row],[Subcategory DE]])&gt;0," 
" &amp;DocIndirectCosts[[#This Row],[Subcategory DE]],)</f>
        <v>MGK Materialklasse 
Menge je Lagereinheit [m³]</v>
      </c>
      <c r="F338"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m³, die sich zu einer Lagereinheit zusammenfassen lässt.
Ist diese Zelle leer, ist die entsprechende Einheit für Materialien dieser Gruppe standardmäßig nicht vorgesehen, kann aber bei Bedarf ergänzt werden.</v>
      </c>
      <c r="G338" s="6" t="s">
        <v>2163</v>
      </c>
      <c r="H338" s="6" t="str">
        <f>"Quantity per storage unit ["&amp;DocIndirectCosts[[#This Row],[Range]]&amp;"]"</f>
        <v>Quantity per storage unit [m³]</v>
      </c>
      <c r="I338" s="6" t="s">
        <v>2165</v>
      </c>
      <c r="J338" s="6" t="str">
        <f>"Menge je Lagereinheit ["&amp;DocIndirectCosts[[#This Row],[Range]]&amp;"]"</f>
        <v>Menge je Lagereinheit [m³]</v>
      </c>
      <c r="K338" s="6">
        <v>1</v>
      </c>
      <c r="L338" s="6"/>
    </row>
    <row r="339" spans="2:12" ht="38.25" hidden="1" outlineLevel="1">
      <c r="B339" s="6" t="s">
        <v>1019</v>
      </c>
      <c r="C339" s="847" t="str">
        <f>DocIndirectCosts[[#This Row],[Category EN]]&amp;IF(LEN(DocIndirectCosts[[#This Row],[Subcategory EN]])&gt;0," 
" &amp;DocIndirectCosts[[#This Row],[Subcategory EN]],)</f>
        <v>Indirect material class 
Area per storage unit_x000D_
in m²</v>
      </c>
      <c r="D339" s="449" t="s">
        <v>1669</v>
      </c>
      <c r="E339" s="847" t="str">
        <f>DocIndirectCosts[[#This Row],[Category DE]]&amp;IF(LEN(DocIndirectCosts[[#This Row],[Subcategory DE]])&gt;0," 
" &amp;DocIndirectCosts[[#This Row],[Subcategory DE]],)</f>
        <v>MGK Materialklasse 
Fläche je Lagereinheit in m²</v>
      </c>
      <c r="F339" s="19" t="s">
        <v>1654</v>
      </c>
      <c r="G339" s="6" t="s">
        <v>2163</v>
      </c>
      <c r="H339" s="6" t="s">
        <v>1174</v>
      </c>
      <c r="I339" s="6" t="s">
        <v>2165</v>
      </c>
      <c r="J339" s="6" t="s">
        <v>1209</v>
      </c>
      <c r="K339" s="6">
        <v>1</v>
      </c>
      <c r="L339" s="6"/>
    </row>
    <row r="340" spans="2:12" ht="38.25" hidden="1" outlineLevel="1">
      <c r="B340" s="6" t="s">
        <v>1083</v>
      </c>
      <c r="C340" s="847" t="str">
        <f>DocIndirectCosts[[#This Row],[Category EN]]&amp;IF(LEN(DocIndirectCosts[[#This Row],[Subcategory EN]])&gt;0," 
" &amp;DocIndirectCosts[[#This Row],[Subcategory EN]],)</f>
        <v>Indirect material class 
Storage handling equipment</v>
      </c>
      <c r="D340" s="449" t="s">
        <v>1670</v>
      </c>
      <c r="E340" s="847" t="str">
        <f>DocIndirectCosts[[#This Row],[Category DE]]&amp;IF(LEN(DocIndirectCosts[[#This Row],[Subcategory DE]])&gt;0," 
" &amp;DocIndirectCosts[[#This Row],[Subcategory DE]],)</f>
        <v>MGK Materialklasse 
Lagerbediengerät</v>
      </c>
      <c r="F340" s="19" t="s">
        <v>1655</v>
      </c>
      <c r="G340" s="6" t="s">
        <v>2163</v>
      </c>
      <c r="H340" s="6" t="s">
        <v>1189</v>
      </c>
      <c r="I340" s="6" t="s">
        <v>2165</v>
      </c>
      <c r="J340" s="6" t="s">
        <v>1083</v>
      </c>
      <c r="K340" s="6">
        <v>1</v>
      </c>
      <c r="L340" s="6"/>
    </row>
    <row r="341" spans="2:12" ht="38.25" hidden="1" outlineLevel="1">
      <c r="B341" s="6" t="s">
        <v>1034</v>
      </c>
      <c r="C341" s="847" t="str">
        <f>DocIndirectCosts[[#This Row],[Category EN]]&amp;IF(LEN(DocIndirectCosts[[#This Row],[Subcategory EN]])&gt;0," 
" &amp;DocIndirectCosts[[#This Row],[Subcategory EN]],)</f>
        <v>Personnel expenditure 
Buyer</v>
      </c>
      <c r="D341" s="449" t="s">
        <v>2207</v>
      </c>
      <c r="E341" s="847" t="str">
        <f>DocIndirectCosts[[#This Row],[Category DE]]&amp;IF(LEN(DocIndirectCosts[[#This Row],[Subcategory DE]])&gt;0," 
" &amp;DocIndirectCosts[[#This Row],[Subcategory DE]],)</f>
        <v>Personalaufwand 
Einkäufer</v>
      </c>
      <c r="F341" s="19" t="s">
        <v>2189</v>
      </c>
      <c r="G341" s="6" t="s">
        <v>1207</v>
      </c>
      <c r="H341" s="6" t="s">
        <v>1175</v>
      </c>
      <c r="I341" s="6" t="s">
        <v>1201</v>
      </c>
      <c r="J341" s="6" t="s">
        <v>1055</v>
      </c>
      <c r="K341" s="6">
        <v>1</v>
      </c>
      <c r="L341" s="6"/>
    </row>
    <row r="342" spans="2:12" ht="63.75" hidden="1" outlineLevel="1">
      <c r="B342" s="6" t="s">
        <v>1035</v>
      </c>
      <c r="C342" s="847" t="str">
        <f>DocIndirectCosts[[#This Row],[Category EN]]&amp;IF(LEN(DocIndirectCosts[[#This Row],[Subcategory EN]])&gt;0," 
" &amp;DocIndirectCosts[[#This Row],[Subcategory EN]],)</f>
        <v>Personnel expenditure 
Inspection engineer</v>
      </c>
      <c r="D342" s="449" t="s">
        <v>2208</v>
      </c>
      <c r="E342" s="847" t="str">
        <f>DocIndirectCosts[[#This Row],[Category DE]]&amp;IF(LEN(DocIndirectCosts[[#This Row],[Subcategory DE]])&gt;0," 
" &amp;DocIndirectCosts[[#This Row],[Subcategory DE]],)</f>
        <v>Personalaufwand 
Prüfingenieur</v>
      </c>
      <c r="F342" s="19" t="s">
        <v>2190</v>
      </c>
      <c r="G342" s="6" t="s">
        <v>1207</v>
      </c>
      <c r="H342" s="6" t="s">
        <v>1176</v>
      </c>
      <c r="I342" s="6" t="s">
        <v>1201</v>
      </c>
      <c r="J342" s="6" t="s">
        <v>1056</v>
      </c>
      <c r="K342" s="6">
        <v>1</v>
      </c>
      <c r="L342" s="6"/>
    </row>
    <row r="343" spans="2:12" ht="38.25" hidden="1" outlineLevel="1">
      <c r="B343" s="6" t="s">
        <v>1037</v>
      </c>
      <c r="C343" s="847" t="str">
        <f>DocIndirectCosts[[#This Row],[Category EN]]&amp;IF(LEN(DocIndirectCosts[[#This Row],[Subcategory EN]])&gt;0," 
" &amp;DocIndirectCosts[[#This Row],[Subcategory EN]],)</f>
        <v>Personnel expenditure 
Warehouse worker</v>
      </c>
      <c r="D343" s="449" t="s">
        <v>2209</v>
      </c>
      <c r="E343" s="847" t="str">
        <f>DocIndirectCosts[[#This Row],[Category DE]]&amp;IF(LEN(DocIndirectCosts[[#This Row],[Subcategory DE]])&gt;0," 
" &amp;DocIndirectCosts[[#This Row],[Subcategory DE]],)</f>
        <v>Personalaufwand 
Lagerarbeiter</v>
      </c>
      <c r="F343" s="19" t="s">
        <v>2191</v>
      </c>
      <c r="G343" s="6" t="s">
        <v>1207</v>
      </c>
      <c r="H343" s="6" t="s">
        <v>1177</v>
      </c>
      <c r="I343" s="6" t="s">
        <v>1201</v>
      </c>
      <c r="J343" s="6" t="s">
        <v>1057</v>
      </c>
      <c r="K343" s="6">
        <v>1</v>
      </c>
      <c r="L343" s="6"/>
    </row>
    <row r="344" spans="2:12" ht="76.5" hidden="1" outlineLevel="1">
      <c r="B344" s="6" t="s">
        <v>1047</v>
      </c>
      <c r="C344" s="847" t="str">
        <f>DocIndirectCosts[[#This Row],[Category EN]]&amp;IF(LEN(DocIndirectCosts[[#This Row],[Subcategory EN]])&gt;0," 
" &amp;DocIndirectCosts[[#This Row],[Subcategory EN]],)</f>
        <v>Test stand occupancy 
Dimensions</v>
      </c>
      <c r="D344" s="449" t="s">
        <v>1671</v>
      </c>
      <c r="E344" s="847" t="str">
        <f>DocIndirectCosts[[#This Row],[Category DE]]&amp;IF(LEN(DocIndirectCosts[[#This Row],[Subcategory DE]])&gt;0," 
" &amp;DocIndirectCosts[[#This Row],[Subcategory DE]],)</f>
        <v>Prüfstandbelegung 
Maße</v>
      </c>
      <c r="F344" s="19" t="s">
        <v>1661</v>
      </c>
      <c r="G344" s="6" t="s">
        <v>1208</v>
      </c>
      <c r="H344" s="6" t="s">
        <v>134</v>
      </c>
      <c r="I344" s="6" t="s">
        <v>1202</v>
      </c>
      <c r="J344" s="6" t="s">
        <v>1047</v>
      </c>
      <c r="K344" s="6">
        <v>1</v>
      </c>
      <c r="L344" s="6"/>
    </row>
    <row r="345" spans="2:12" ht="76.5" hidden="1" outlineLevel="1">
      <c r="B345" s="6" t="s">
        <v>140</v>
      </c>
      <c r="C345" s="847" t="str">
        <f>DocIndirectCosts[[#This Row],[Category EN]]&amp;IF(LEN(DocIndirectCosts[[#This Row],[Subcategory EN]])&gt;0," 
" &amp;DocIndirectCosts[[#This Row],[Subcategory EN]],)</f>
        <v>Test stand occupancy 
Weight</v>
      </c>
      <c r="D345" s="449" t="str">
        <f>D344</f>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5" s="847" t="str">
        <f>DocIndirectCosts[[#This Row],[Category DE]]&amp;IF(LEN(DocIndirectCosts[[#This Row],[Subcategory DE]])&gt;0," 
" &amp;DocIndirectCosts[[#This Row],[Subcategory DE]],)</f>
        <v>Prüfstandbelegung 
Gewicht</v>
      </c>
      <c r="F345" s="19" t="str">
        <f>F344</f>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5" s="6" t="s">
        <v>1208</v>
      </c>
      <c r="H345" s="6" t="s">
        <v>902</v>
      </c>
      <c r="I345" s="6" t="s">
        <v>1202</v>
      </c>
      <c r="J345" s="6" t="s">
        <v>140</v>
      </c>
      <c r="K345" s="6">
        <v>1</v>
      </c>
      <c r="L345" s="6"/>
    </row>
    <row r="346" spans="2:12" ht="76.5" hidden="1" outlineLevel="1">
      <c r="B346" s="6" t="s">
        <v>1048</v>
      </c>
      <c r="C346" s="847" t="str">
        <f>DocIndirectCosts[[#This Row],[Category EN]]&amp;IF(LEN(DocIndirectCosts[[#This Row],[Subcategory EN]])&gt;0," 
" &amp;DocIndirectCosts[[#This Row],[Subcategory EN]],)</f>
        <v>Test stand occupancy 
Material</v>
      </c>
      <c r="D346" s="449" t="str">
        <f t="shared" ref="D346:D352" si="0">D345</f>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6" s="847" t="str">
        <f>DocIndirectCosts[[#This Row],[Category DE]]&amp;IF(LEN(DocIndirectCosts[[#This Row],[Subcategory DE]])&gt;0," 
" &amp;DocIndirectCosts[[#This Row],[Subcategory DE]],)</f>
        <v>Prüfstandbelegung 
Werkstoff</v>
      </c>
      <c r="F346" s="19" t="str">
        <f t="shared" ref="F346:F352" si="1">F345</f>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6" s="6" t="s">
        <v>1208</v>
      </c>
      <c r="H346" s="6" t="s">
        <v>34</v>
      </c>
      <c r="I346" s="6" t="s">
        <v>1202</v>
      </c>
      <c r="J346" s="6" t="s">
        <v>1048</v>
      </c>
      <c r="K346" s="6">
        <v>1</v>
      </c>
      <c r="L346" s="6"/>
    </row>
    <row r="347" spans="2:12" ht="76.5" hidden="1" outlineLevel="1">
      <c r="B347" s="6" t="s">
        <v>1049</v>
      </c>
      <c r="C347" s="847" t="str">
        <f>DocIndirectCosts[[#This Row],[Category EN]]&amp;IF(LEN(DocIndirectCosts[[#This Row],[Subcategory EN]])&gt;0," 
" &amp;DocIndirectCosts[[#This Row],[Subcategory EN]],)</f>
        <v>Test stand occupancy 
Function</v>
      </c>
      <c r="D347" s="449"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7" s="847" t="str">
        <f>DocIndirectCosts[[#This Row],[Category DE]]&amp;IF(LEN(DocIndirectCosts[[#This Row],[Subcategory DE]])&gt;0," 
" &amp;DocIndirectCosts[[#This Row],[Subcategory DE]],)</f>
        <v>Prüfstandbelegung 
Funktion</v>
      </c>
      <c r="F347"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7" s="6" t="s">
        <v>1208</v>
      </c>
      <c r="H347" s="6" t="s">
        <v>1178</v>
      </c>
      <c r="I347" s="6" t="s">
        <v>1202</v>
      </c>
      <c r="J347" s="6" t="s">
        <v>1049</v>
      </c>
      <c r="K347" s="6">
        <v>1</v>
      </c>
      <c r="L347" s="6"/>
    </row>
    <row r="348" spans="2:12" ht="76.5" hidden="1" outlineLevel="1">
      <c r="B348" s="6" t="s">
        <v>1050</v>
      </c>
      <c r="C348" s="847" t="str">
        <f>DocIndirectCosts[[#This Row],[Category EN]]&amp;IF(LEN(DocIndirectCosts[[#This Row],[Subcategory EN]])&gt;0," 
" &amp;DocIndirectCosts[[#This Row],[Subcategory EN]],)</f>
        <v>Test stand occupancy 
X-ray</v>
      </c>
      <c r="D348" s="449"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8" s="847" t="str">
        <f>DocIndirectCosts[[#This Row],[Category DE]]&amp;IF(LEN(DocIndirectCosts[[#This Row],[Subcategory DE]])&gt;0," 
" &amp;DocIndirectCosts[[#This Row],[Subcategory DE]],)</f>
        <v>Prüfstandbelegung 
Röntgen</v>
      </c>
      <c r="F348"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8" s="6" t="s">
        <v>1208</v>
      </c>
      <c r="H348" s="6" t="s">
        <v>1179</v>
      </c>
      <c r="I348" s="6" t="s">
        <v>1202</v>
      </c>
      <c r="J348" s="6" t="s">
        <v>1050</v>
      </c>
      <c r="K348" s="6">
        <v>1</v>
      </c>
      <c r="L348" s="6"/>
    </row>
    <row r="349" spans="2:12" ht="76.5" hidden="1" outlineLevel="1">
      <c r="B349" s="6" t="s">
        <v>1051</v>
      </c>
      <c r="C349" s="847" t="str">
        <f>DocIndirectCosts[[#This Row],[Category EN]]&amp;IF(LEN(DocIndirectCosts[[#This Row],[Subcategory EN]])&gt;0," 
" &amp;DocIndirectCosts[[#This Row],[Subcategory EN]],)</f>
        <v>Test stand occupancy 
Magnetic powder</v>
      </c>
      <c r="D349" s="449"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9" s="847" t="str">
        <f>DocIndirectCosts[[#This Row],[Category DE]]&amp;IF(LEN(DocIndirectCosts[[#This Row],[Subcategory DE]])&gt;0," 
" &amp;DocIndirectCosts[[#This Row],[Subcategory DE]],)</f>
        <v>Prüfstandbelegung 
Magnetpulver</v>
      </c>
      <c r="F349"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9" s="6" t="s">
        <v>1208</v>
      </c>
      <c r="H349" s="6" t="s">
        <v>1180</v>
      </c>
      <c r="I349" s="6" t="s">
        <v>1202</v>
      </c>
      <c r="J349" s="6" t="s">
        <v>1051</v>
      </c>
      <c r="K349" s="6">
        <v>1</v>
      </c>
      <c r="L349" s="6"/>
    </row>
    <row r="350" spans="2:12" ht="76.5" hidden="1" outlineLevel="1">
      <c r="B350" s="6" t="s">
        <v>1052</v>
      </c>
      <c r="C350" s="847" t="str">
        <f>DocIndirectCosts[[#This Row],[Category EN]]&amp;IF(LEN(DocIndirectCosts[[#This Row],[Subcategory EN]])&gt;0," 
" &amp;DocIndirectCosts[[#This Row],[Subcategory EN]],)</f>
        <v>Test stand occupancy 
Endurance test</v>
      </c>
      <c r="D350" s="449"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0" s="847" t="str">
        <f>DocIndirectCosts[[#This Row],[Category DE]]&amp;IF(LEN(DocIndirectCosts[[#This Row],[Subcategory DE]])&gt;0," 
" &amp;DocIndirectCosts[[#This Row],[Subcategory DE]],)</f>
        <v>Prüfstandbelegung 
Dauertest</v>
      </c>
      <c r="F350"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0" s="6" t="s">
        <v>1208</v>
      </c>
      <c r="H350" s="6" t="s">
        <v>1181</v>
      </c>
      <c r="I350" s="6" t="s">
        <v>1202</v>
      </c>
      <c r="J350" s="6" t="s">
        <v>1052</v>
      </c>
      <c r="K350" s="6">
        <v>1</v>
      </c>
      <c r="L350" s="6"/>
    </row>
    <row r="351" spans="2:12" ht="76.5" hidden="1" outlineLevel="1">
      <c r="B351" s="6" t="s">
        <v>1053</v>
      </c>
      <c r="C351" s="847" t="str">
        <f>DocIndirectCosts[[#This Row],[Category EN]]&amp;IF(LEN(DocIndirectCosts[[#This Row],[Subcategory EN]])&gt;0," 
" &amp;DocIndirectCosts[[#This Row],[Subcategory EN]],)</f>
        <v>Test stand occupancy 
Colour fastness</v>
      </c>
      <c r="D351" s="449"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1" s="847" t="str">
        <f>DocIndirectCosts[[#This Row],[Category DE]]&amp;IF(LEN(DocIndirectCosts[[#This Row],[Subcategory DE]])&gt;0," 
" &amp;DocIndirectCosts[[#This Row],[Subcategory DE]],)</f>
        <v>Prüfstandbelegung 
Farbechtheit</v>
      </c>
      <c r="F351"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1" s="6" t="s">
        <v>1208</v>
      </c>
      <c r="H351" s="6" t="s">
        <v>1183</v>
      </c>
      <c r="I351" s="6" t="s">
        <v>1202</v>
      </c>
      <c r="J351" s="6" t="s">
        <v>1053</v>
      </c>
      <c r="K351" s="6">
        <v>1</v>
      </c>
      <c r="L351" s="6"/>
    </row>
    <row r="352" spans="2:12" ht="76.5" hidden="1" outlineLevel="1">
      <c r="B352" s="6" t="s">
        <v>1054</v>
      </c>
      <c r="C352" s="847" t="str">
        <f>DocIndirectCosts[[#This Row],[Category EN]]&amp;IF(LEN(DocIndirectCosts[[#This Row],[Subcategory EN]])&gt;0," 
" &amp;DocIndirectCosts[[#This Row],[Subcategory EN]],)</f>
        <v>Test stand occupancy 
Electronics</v>
      </c>
      <c r="D352" s="449"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2" s="847" t="str">
        <f>DocIndirectCosts[[#This Row],[Category DE]]&amp;IF(LEN(DocIndirectCosts[[#This Row],[Subcategory DE]])&gt;0," 
" &amp;DocIndirectCosts[[#This Row],[Subcategory DE]],)</f>
        <v>Prüfstandbelegung 
Elekronik</v>
      </c>
      <c r="F352"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2" s="6" t="s">
        <v>1208</v>
      </c>
      <c r="H352" s="6" t="s">
        <v>962</v>
      </c>
      <c r="I352" s="6" t="s">
        <v>1202</v>
      </c>
      <c r="J352" s="6" t="s">
        <v>1054</v>
      </c>
      <c r="K352" s="6">
        <v>1</v>
      </c>
      <c r="L352" s="6"/>
    </row>
    <row r="353" spans="2:12" ht="140.25" hidden="1" outlineLevel="1">
      <c r="B353" s="6" t="s">
        <v>1070</v>
      </c>
      <c r="C353" s="847" t="str">
        <f>DocIndirectCosts[[#This Row],[Category EN]]&amp;IF(LEN(DocIndirectCosts[[#This Row],[Subcategory EN]])&gt;0," 
" &amp;DocIndirectCosts[[#This Row],[Subcategory EN]],)</f>
        <v>Carry forward test stand 
Interest bearing investment</v>
      </c>
      <c r="D353" s="449" t="s">
        <v>1653</v>
      </c>
      <c r="E353" s="847" t="str">
        <f>DocIndirectCosts[[#This Row],[Category DE]]&amp;IF(LEN(DocIndirectCosts[[#This Row],[Subcategory DE]])&gt;0," 
" &amp;DocIndirectCosts[[#This Row],[Subcategory DE]],)</f>
        <v>Übertrag Prüfstand 
Zu verzinsender Invest</v>
      </c>
      <c r="F353" s="19" t="s">
        <v>1489</v>
      </c>
      <c r="G353" s="6" t="s">
        <v>1186</v>
      </c>
      <c r="H353" s="6" t="s">
        <v>1182</v>
      </c>
      <c r="I353" s="6" t="s">
        <v>1067</v>
      </c>
      <c r="J353" s="6" t="s">
        <v>1036</v>
      </c>
      <c r="K353" s="6">
        <v>1</v>
      </c>
      <c r="L353" s="6"/>
    </row>
    <row r="354" spans="2:12" ht="25.5" hidden="1" customHeight="1" outlineLevel="1">
      <c r="B354" s="6" t="s">
        <v>1071</v>
      </c>
      <c r="C354" s="847" t="str">
        <f>DocIndirectCosts[[#This Row],[Category EN]]&amp;IF(LEN(DocIndirectCosts[[#This Row],[Subcategory EN]])&gt;0," 
" &amp;DocIndirectCosts[[#This Row],[Subcategory EN]],)</f>
        <v>Carry forward test stand 
€</v>
      </c>
      <c r="D354" s="449" t="s">
        <v>1649</v>
      </c>
      <c r="E354" s="847" t="str">
        <f>DocIndirectCosts[[#This Row],[Category DE]]&amp;IF(LEN(DocIndirectCosts[[#This Row],[Subcategory DE]])&gt;0," 
" &amp;DocIndirectCosts[[#This Row],[Subcategory DE]],)</f>
        <v>Übertrag Prüfstand 
€</v>
      </c>
      <c r="F354" s="19" t="s">
        <v>1215</v>
      </c>
      <c r="G354" s="6" t="s">
        <v>1186</v>
      </c>
      <c r="H354" s="6" t="s">
        <v>1022</v>
      </c>
      <c r="I354" s="6" t="s">
        <v>1067</v>
      </c>
      <c r="J354" s="6" t="s">
        <v>1022</v>
      </c>
      <c r="K354" s="6">
        <v>1</v>
      </c>
      <c r="L354" s="6"/>
    </row>
    <row r="355" spans="2:12" ht="38.25" hidden="1" outlineLevel="1">
      <c r="B355" s="6" t="s">
        <v>1072</v>
      </c>
      <c r="C355" s="847" t="str">
        <f>DocIndirectCosts[[#This Row],[Category EN]]&amp;IF(LEN(DocIndirectCosts[[#This Row],[Subcategory EN]])&gt;0," 
" &amp;DocIndirectCosts[[#This Row],[Subcategory EN]],)</f>
        <v>Carry forward test stand 
kWh</v>
      </c>
      <c r="D355" s="449" t="s">
        <v>1650</v>
      </c>
      <c r="E355" s="847" t="str">
        <f>DocIndirectCosts[[#This Row],[Category DE]]&amp;IF(LEN(DocIndirectCosts[[#This Row],[Subcategory DE]])&gt;0," 
" &amp;DocIndirectCosts[[#This Row],[Subcategory DE]],)</f>
        <v>Übertrag Prüfstand 
kWh</v>
      </c>
      <c r="F355" s="19" t="s">
        <v>1215</v>
      </c>
      <c r="G355" s="6" t="s">
        <v>1186</v>
      </c>
      <c r="H355" s="6" t="s">
        <v>1023</v>
      </c>
      <c r="I355" s="6" t="s">
        <v>1067</v>
      </c>
      <c r="J355" s="6" t="s">
        <v>1023</v>
      </c>
      <c r="K355" s="6">
        <v>1</v>
      </c>
      <c r="L355" s="6"/>
    </row>
    <row r="356" spans="2:12" ht="38.25" hidden="1" outlineLevel="1">
      <c r="B356" s="6" t="s">
        <v>1073</v>
      </c>
      <c r="C356" s="847" t="str">
        <f>DocIndirectCosts[[#This Row],[Category EN]]&amp;IF(LEN(DocIndirectCosts[[#This Row],[Subcategory EN]])&gt;0," 
" &amp;DocIndirectCosts[[#This Row],[Subcategory EN]],)</f>
        <v>Carry forward test stand 
m²</v>
      </c>
      <c r="D356" s="449" t="s">
        <v>1650</v>
      </c>
      <c r="E356" s="847" t="str">
        <f>DocIndirectCosts[[#This Row],[Category DE]]&amp;IF(LEN(DocIndirectCosts[[#This Row],[Subcategory DE]])&gt;0," 
" &amp;DocIndirectCosts[[#This Row],[Subcategory DE]],)</f>
        <v>Übertrag Prüfstand 
m²</v>
      </c>
      <c r="F356" s="19" t="s">
        <v>1215</v>
      </c>
      <c r="G356" s="6" t="s">
        <v>1186</v>
      </c>
      <c r="H356" s="6" t="s">
        <v>913</v>
      </c>
      <c r="I356" s="6" t="s">
        <v>1067</v>
      </c>
      <c r="J356" s="6" t="s">
        <v>913</v>
      </c>
      <c r="K356" s="6">
        <v>1</v>
      </c>
      <c r="L356" s="6"/>
    </row>
    <row r="357" spans="2:12" ht="51" hidden="1" outlineLevel="1">
      <c r="B357" s="6" t="s">
        <v>1074</v>
      </c>
      <c r="C357" s="847" t="str">
        <f>DocIndirectCosts[[#This Row],[Category EN]]&amp;IF(LEN(DocIndirectCosts[[#This Row],[Subcategory EN]])&gt;0," 
" &amp;DocIndirectCosts[[#This Row],[Subcategory EN]],)</f>
        <v>Carry forward place of storage 
Interest bearing investment</v>
      </c>
      <c r="D357" s="449" t="s">
        <v>1651</v>
      </c>
      <c r="E357" s="847" t="str">
        <f>DocIndirectCosts[[#This Row],[Category DE]]&amp;IF(LEN(DocIndirectCosts[[#This Row],[Subcategory DE]])&gt;0," 
" &amp;DocIndirectCosts[[#This Row],[Subcategory DE]],)</f>
        <v>Übertrag Lagerplatz 
Zu verzinsender Invest</v>
      </c>
      <c r="F357" s="19" t="s">
        <v>1490</v>
      </c>
      <c r="G357" s="6" t="s">
        <v>1188</v>
      </c>
      <c r="H357" s="6" t="s">
        <v>1182</v>
      </c>
      <c r="I357" s="6" t="s">
        <v>1069</v>
      </c>
      <c r="J357" s="6" t="s">
        <v>1036</v>
      </c>
      <c r="K357" s="6">
        <v>1</v>
      </c>
      <c r="L357" s="6"/>
    </row>
    <row r="358" spans="2:12" ht="38.25" hidden="1" outlineLevel="1">
      <c r="B358" s="6" t="s">
        <v>1075</v>
      </c>
      <c r="C358" s="847" t="str">
        <f>DocIndirectCosts[[#This Row],[Category EN]]&amp;IF(LEN(DocIndirectCosts[[#This Row],[Subcategory EN]])&gt;0," 
" &amp;DocIndirectCosts[[#This Row],[Subcategory EN]],)</f>
        <v>Carry forward place of storage 
€</v>
      </c>
      <c r="D358" s="449" t="s">
        <v>1649</v>
      </c>
      <c r="E358" s="847" t="str">
        <f>DocIndirectCosts[[#This Row],[Category DE]]&amp;IF(LEN(DocIndirectCosts[[#This Row],[Subcategory DE]])&gt;0," 
" &amp;DocIndirectCosts[[#This Row],[Subcategory DE]],)</f>
        <v>Übertrag Lagerplatz 
€</v>
      </c>
      <c r="F358" s="19" t="s">
        <v>1215</v>
      </c>
      <c r="G358" s="6" t="s">
        <v>1188</v>
      </c>
      <c r="H358" s="6" t="s">
        <v>1022</v>
      </c>
      <c r="I358" s="6" t="s">
        <v>1069</v>
      </c>
      <c r="J358" s="6" t="s">
        <v>1022</v>
      </c>
      <c r="K358" s="6">
        <v>1</v>
      </c>
      <c r="L358" s="6"/>
    </row>
    <row r="359" spans="2:12" ht="38.25" hidden="1" outlineLevel="1">
      <c r="B359" s="6" t="s">
        <v>1076</v>
      </c>
      <c r="C359" s="847" t="str">
        <f>DocIndirectCosts[[#This Row],[Category EN]]&amp;IF(LEN(DocIndirectCosts[[#This Row],[Subcategory EN]])&gt;0," 
" &amp;DocIndirectCosts[[#This Row],[Subcategory EN]],)</f>
        <v>Carry forward place of storage 
kWh</v>
      </c>
      <c r="D359" s="449" t="s">
        <v>1650</v>
      </c>
      <c r="E359" s="847" t="str">
        <f>DocIndirectCosts[[#This Row],[Category DE]]&amp;IF(LEN(DocIndirectCosts[[#This Row],[Subcategory DE]])&gt;0," 
" &amp;DocIndirectCosts[[#This Row],[Subcategory DE]],)</f>
        <v>Übertrag Lagerplatz 
kWh</v>
      </c>
      <c r="F359" s="19" t="s">
        <v>1215</v>
      </c>
      <c r="G359" s="6" t="s">
        <v>1188</v>
      </c>
      <c r="H359" s="6" t="s">
        <v>1023</v>
      </c>
      <c r="I359" s="6" t="s">
        <v>1069</v>
      </c>
      <c r="J359" s="6" t="s">
        <v>1023</v>
      </c>
      <c r="K359" s="6">
        <v>1</v>
      </c>
      <c r="L359" s="6"/>
    </row>
    <row r="360" spans="2:12" ht="38.25" hidden="1" outlineLevel="1">
      <c r="B360" s="6" t="s">
        <v>1077</v>
      </c>
      <c r="C360" s="847" t="str">
        <f>DocIndirectCosts[[#This Row],[Category EN]]&amp;IF(LEN(DocIndirectCosts[[#This Row],[Subcategory EN]])&gt;0," 
" &amp;DocIndirectCosts[[#This Row],[Subcategory EN]],)</f>
        <v>Carry forward place of storage 
m²</v>
      </c>
      <c r="D360" s="449" t="s">
        <v>1650</v>
      </c>
      <c r="E360" s="847" t="str">
        <f>DocIndirectCosts[[#This Row],[Category DE]]&amp;IF(LEN(DocIndirectCosts[[#This Row],[Subcategory DE]])&gt;0," 
" &amp;DocIndirectCosts[[#This Row],[Subcategory DE]],)</f>
        <v>Übertrag Lagerplatz 
m²</v>
      </c>
      <c r="F360" s="19" t="s">
        <v>1215</v>
      </c>
      <c r="G360" s="6" t="s">
        <v>1188</v>
      </c>
      <c r="H360" s="6" t="s">
        <v>913</v>
      </c>
      <c r="I360" s="6" t="s">
        <v>1069</v>
      </c>
      <c r="J360" s="6" t="s">
        <v>913</v>
      </c>
      <c r="K360" s="6">
        <v>1</v>
      </c>
      <c r="L360" s="6"/>
    </row>
    <row r="361" spans="2:12" ht="51" hidden="1" outlineLevel="1">
      <c r="B361" s="6" t="s">
        <v>1078</v>
      </c>
      <c r="C361" s="847" t="str">
        <f>DocIndirectCosts[[#This Row],[Category EN]]&amp;IF(LEN(DocIndirectCosts[[#This Row],[Subcategory EN]])&gt;0," 
" &amp;DocIndirectCosts[[#This Row],[Subcategory EN]],)</f>
        <v>Carry forward storage device 
Interest bearing investment</v>
      </c>
      <c r="D361" s="449" t="s">
        <v>1652</v>
      </c>
      <c r="E361" s="847" t="str">
        <f>DocIndirectCosts[[#This Row],[Category DE]]&amp;IF(LEN(DocIndirectCosts[[#This Row],[Subcategory DE]])&gt;0," 
" &amp;DocIndirectCosts[[#This Row],[Subcategory DE]],)</f>
        <v>Übertrag Lagerbediengerät 
Zu verzinsender Invest</v>
      </c>
      <c r="F361" s="19" t="s">
        <v>1490</v>
      </c>
      <c r="G361" s="6" t="s">
        <v>1187</v>
      </c>
      <c r="H361" s="6" t="s">
        <v>1182</v>
      </c>
      <c r="I361" s="6" t="s">
        <v>1082</v>
      </c>
      <c r="J361" s="6" t="s">
        <v>1036</v>
      </c>
      <c r="K361" s="6">
        <v>1</v>
      </c>
      <c r="L361" s="6"/>
    </row>
    <row r="362" spans="2:12" ht="38.25" hidden="1" outlineLevel="1">
      <c r="B362" s="6" t="s">
        <v>1079</v>
      </c>
      <c r="C362" s="847" t="str">
        <f>DocIndirectCosts[[#This Row],[Category EN]]&amp;IF(LEN(DocIndirectCosts[[#This Row],[Subcategory EN]])&gt;0," 
" &amp;DocIndirectCosts[[#This Row],[Subcategory EN]],)</f>
        <v>Carry forward storage device 
€</v>
      </c>
      <c r="D362" s="449" t="s">
        <v>1649</v>
      </c>
      <c r="E362" s="847" t="str">
        <f>DocIndirectCosts[[#This Row],[Category DE]]&amp;IF(LEN(DocIndirectCosts[[#This Row],[Subcategory DE]])&gt;0," 
" &amp;DocIndirectCosts[[#This Row],[Subcategory DE]],)</f>
        <v>Übertrag Lagerbediengerät 
€</v>
      </c>
      <c r="F362" s="19" t="s">
        <v>1215</v>
      </c>
      <c r="G362" s="6" t="s">
        <v>1187</v>
      </c>
      <c r="H362" s="6" t="s">
        <v>1022</v>
      </c>
      <c r="I362" s="6" t="s">
        <v>1082</v>
      </c>
      <c r="J362" s="6" t="s">
        <v>1022</v>
      </c>
      <c r="K362" s="6">
        <v>1</v>
      </c>
      <c r="L362" s="6"/>
    </row>
    <row r="363" spans="2:12" ht="38.25" hidden="1" outlineLevel="1">
      <c r="B363" s="6" t="s">
        <v>1080</v>
      </c>
      <c r="C363" s="847" t="str">
        <f>DocIndirectCosts[[#This Row],[Category EN]]&amp;IF(LEN(DocIndirectCosts[[#This Row],[Subcategory EN]])&gt;0," 
" &amp;DocIndirectCosts[[#This Row],[Subcategory EN]],)</f>
        <v>Carry forward storage device 
kWh</v>
      </c>
      <c r="D363" s="449" t="s">
        <v>1649</v>
      </c>
      <c r="E363" s="847" t="str">
        <f>DocIndirectCosts[[#This Row],[Category DE]]&amp;IF(LEN(DocIndirectCosts[[#This Row],[Subcategory DE]])&gt;0," 
" &amp;DocIndirectCosts[[#This Row],[Subcategory DE]],)</f>
        <v>Übertrag Lagerbediengerät 
kWh</v>
      </c>
      <c r="F363" s="19" t="s">
        <v>1215</v>
      </c>
      <c r="G363" s="6" t="s">
        <v>1187</v>
      </c>
      <c r="H363" s="6" t="s">
        <v>1023</v>
      </c>
      <c r="I363" s="6" t="s">
        <v>1082</v>
      </c>
      <c r="J363" s="6" t="s">
        <v>1023</v>
      </c>
      <c r="K363" s="6">
        <v>1</v>
      </c>
      <c r="L363" s="6"/>
    </row>
    <row r="364" spans="2:12" ht="38.25" hidden="1" outlineLevel="1">
      <c r="B364" s="6" t="s">
        <v>1081</v>
      </c>
      <c r="C364" s="847" t="str">
        <f>DocIndirectCosts[[#This Row],[Category EN]]&amp;IF(LEN(DocIndirectCosts[[#This Row],[Subcategory EN]])&gt;0," 
" &amp;DocIndirectCosts[[#This Row],[Subcategory EN]],)</f>
        <v>Carry forward storage device 
m²</v>
      </c>
      <c r="D364" s="449" t="s">
        <v>1650</v>
      </c>
      <c r="E364" s="847" t="str">
        <f>DocIndirectCosts[[#This Row],[Category DE]]&amp;IF(LEN(DocIndirectCosts[[#This Row],[Subcategory DE]])&gt;0," 
" &amp;DocIndirectCosts[[#This Row],[Subcategory DE]],)</f>
        <v>Übertrag Lagerbediengerät 
m²</v>
      </c>
      <c r="F364" s="19" t="s">
        <v>1215</v>
      </c>
      <c r="G364" s="6" t="s">
        <v>1187</v>
      </c>
      <c r="H364" s="6" t="s">
        <v>913</v>
      </c>
      <c r="I364" s="6" t="s">
        <v>1082</v>
      </c>
      <c r="J364" s="6" t="s">
        <v>913</v>
      </c>
      <c r="K364" s="6">
        <v>1</v>
      </c>
      <c r="L364" s="6"/>
    </row>
    <row r="365" spans="2:12" ht="38.25" hidden="1" outlineLevel="1">
      <c r="B365" s="6" t="s">
        <v>1192</v>
      </c>
      <c r="C365" s="847" t="str">
        <f>DocIndirectCosts[[#This Row],[Category EN]]&amp;IF(LEN(DocIndirectCosts[[#This Row],[Subcategory EN]])&gt;0," 
" &amp;DocIndirectCosts[[#This Row],[Subcategory EN]],)</f>
        <v>SG&amp;A 
Distribution &amp; Shipping</v>
      </c>
      <c r="D365" s="449" t="s">
        <v>655</v>
      </c>
      <c r="E365" s="847" t="str">
        <f>DocIndirectCosts[[#This Row],[Category DE]]&amp;IF(LEN(DocIndirectCosts[[#This Row],[Subcategory DE]])&gt;0," 
" &amp;DocIndirectCosts[[#This Row],[Subcategory DE]],)</f>
        <v>VVGK 
Vertrieb &amp; Versand</v>
      </c>
      <c r="F365" s="19" t="s">
        <v>560</v>
      </c>
      <c r="G365" s="6" t="s">
        <v>210</v>
      </c>
      <c r="H365" s="6" t="s">
        <v>1216</v>
      </c>
      <c r="I365" s="6" t="s">
        <v>13</v>
      </c>
      <c r="J365" s="6" t="s">
        <v>1217</v>
      </c>
      <c r="K365" s="6">
        <v>1</v>
      </c>
      <c r="L365" s="6"/>
    </row>
    <row r="366" spans="2:12" ht="25.5" hidden="1" outlineLevel="1">
      <c r="B366" s="6" t="s">
        <v>1193</v>
      </c>
      <c r="C366" s="847" t="str">
        <f>DocIndirectCosts[[#This Row],[Category EN]]&amp;IF(LEN(DocIndirectCosts[[#This Row],[Subcategory EN]])&gt;0," 
" &amp;DocIndirectCosts[[#This Row],[Subcategory EN]],)</f>
        <v>SG&amp;A 
Administration</v>
      </c>
      <c r="D366" s="449" t="s">
        <v>656</v>
      </c>
      <c r="E366" s="847" t="str">
        <f>DocIndirectCosts[[#This Row],[Category DE]]&amp;IF(LEN(DocIndirectCosts[[#This Row],[Subcategory DE]])&gt;0," 
" &amp;DocIndirectCosts[[#This Row],[Subcategory DE]],)</f>
        <v>VVGK 
Verwaltung</v>
      </c>
      <c r="F366" s="19" t="s">
        <v>657</v>
      </c>
      <c r="G366" s="6" t="s">
        <v>210</v>
      </c>
      <c r="H366" s="6" t="s">
        <v>1211</v>
      </c>
      <c r="I366" s="6" t="s">
        <v>13</v>
      </c>
      <c r="J366" s="6" t="s">
        <v>1212</v>
      </c>
      <c r="K366" s="6">
        <v>1</v>
      </c>
      <c r="L366" s="6"/>
    </row>
    <row r="367" spans="2:12" ht="38.25" hidden="1" outlineLevel="1">
      <c r="B367" s="6" t="s">
        <v>1194</v>
      </c>
      <c r="C367" s="847" t="str">
        <f>DocIndirectCosts[[#This Row],[Category EN]]&amp;IF(LEN(DocIndirectCosts[[#This Row],[Subcategory EN]])&gt;0," 
" &amp;DocIndirectCosts[[#This Row],[Subcategory EN]],)</f>
        <v>SG&amp;A 
Research &amp; Development</v>
      </c>
      <c r="D367" s="449" t="s">
        <v>658</v>
      </c>
      <c r="E367" s="847" t="str">
        <f>DocIndirectCosts[[#This Row],[Category DE]]&amp;IF(LEN(DocIndirectCosts[[#This Row],[Subcategory DE]])&gt;0," 
" &amp;DocIndirectCosts[[#This Row],[Subcategory DE]],)</f>
        <v>VVGK 
Forschung &amp; Entwicklung</v>
      </c>
      <c r="F367" s="19" t="s">
        <v>659</v>
      </c>
      <c r="G367" s="6" t="s">
        <v>210</v>
      </c>
      <c r="H367" s="6" t="s">
        <v>1214</v>
      </c>
      <c r="I367" s="6" t="s">
        <v>13</v>
      </c>
      <c r="J367" s="6" t="s">
        <v>1213</v>
      </c>
      <c r="K367" s="6">
        <v>1</v>
      </c>
      <c r="L367" s="6"/>
    </row>
    <row r="368" spans="2:12" ht="25.5" hidden="1" outlineLevel="1">
      <c r="B368" s="6" t="s">
        <v>1195</v>
      </c>
      <c r="C368" s="847" t="str">
        <f>DocIndirectCosts[[#This Row],[Category EN]]&amp;IF(LEN(DocIndirectCosts[[#This Row],[Subcategory EN]])&gt;0," 
" &amp;DocIndirectCosts[[#This Row],[Subcategory EN]],)</f>
        <v>Profit</v>
      </c>
      <c r="D368" s="449" t="s">
        <v>660</v>
      </c>
      <c r="E368" s="847" t="str">
        <f>DocIndirectCosts[[#This Row],[Category DE]]&amp;IF(LEN(DocIndirectCosts[[#This Row],[Subcategory DE]])&gt;0," 
" &amp;DocIndirectCosts[[#This Row],[Subcategory DE]],)</f>
        <v>Gewinn</v>
      </c>
      <c r="F368" s="19" t="s">
        <v>661</v>
      </c>
      <c r="G368" s="6" t="s">
        <v>209</v>
      </c>
      <c r="I368" s="6" t="s">
        <v>14</v>
      </c>
      <c r="K368" s="6">
        <v>1</v>
      </c>
      <c r="L368" s="6"/>
    </row>
    <row r="369" spans="1:12">
      <c r="K369" s="6"/>
      <c r="L369" s="6"/>
    </row>
    <row r="370" spans="1:12" collapsed="1">
      <c r="A370" s="458"/>
      <c r="B370" s="459" t="s">
        <v>284</v>
      </c>
    </row>
    <row r="371" spans="1:12" hidden="1" outlineLevel="1">
      <c r="A371" s="456"/>
      <c r="B371" s="456"/>
    </row>
    <row r="372" spans="1:12" ht="30" hidden="1" customHeight="1" outlineLevel="1">
      <c r="B372" s="6" t="s">
        <v>559</v>
      </c>
      <c r="C372" s="847" t="s">
        <v>360</v>
      </c>
      <c r="D372" s="449" t="s">
        <v>361</v>
      </c>
      <c r="E372" s="847" t="s">
        <v>362</v>
      </c>
      <c r="F372" s="19" t="s">
        <v>363</v>
      </c>
      <c r="G372" s="6" t="s">
        <v>367</v>
      </c>
      <c r="H372" s="6" t="s">
        <v>366</v>
      </c>
      <c r="I372" s="6" t="s">
        <v>720</v>
      </c>
    </row>
    <row r="373" spans="1:12" ht="204" hidden="1" outlineLevel="1">
      <c r="B373" s="6" t="s">
        <v>1377</v>
      </c>
      <c r="C373" s="847" t="str">
        <f>DocAnalysis[[#This Row],[Category EN]]</f>
        <v>Analysis</v>
      </c>
      <c r="D373" s="449" t="s">
        <v>2500</v>
      </c>
      <c r="E373" s="847" t="str">
        <f>DocAnalysis[[#This Row],[Category DE]]</f>
        <v>Analyse</v>
      </c>
      <c r="F373" s="19" t="s">
        <v>2499</v>
      </c>
      <c r="G373" s="6" t="s">
        <v>284</v>
      </c>
      <c r="H373" s="6" t="s">
        <v>759</v>
      </c>
      <c r="I373" s="6">
        <v>1</v>
      </c>
    </row>
    <row r="374" spans="1:12">
      <c r="K374" s="6"/>
      <c r="L374" s="6"/>
    </row>
    <row r="375" spans="1:12" collapsed="1">
      <c r="A375" s="458"/>
      <c r="B375" s="459" t="s">
        <v>204</v>
      </c>
    </row>
    <row r="376" spans="1:12" hidden="1" outlineLevel="1">
      <c r="A376" s="456"/>
      <c r="B376" s="456"/>
    </row>
    <row r="377" spans="1:12" ht="30" hidden="1" customHeight="1" outlineLevel="1">
      <c r="B377" s="6" t="s">
        <v>559</v>
      </c>
      <c r="C377" s="847" t="s">
        <v>360</v>
      </c>
      <c r="D377" s="449" t="s">
        <v>361</v>
      </c>
      <c r="E377" s="847" t="s">
        <v>362</v>
      </c>
      <c r="F377" s="19" t="s">
        <v>363</v>
      </c>
      <c r="G377" s="6" t="s">
        <v>367</v>
      </c>
      <c r="H377" s="6" t="s">
        <v>366</v>
      </c>
      <c r="I377" s="6" t="s">
        <v>720</v>
      </c>
    </row>
    <row r="378" spans="1:12" ht="178.5" hidden="1" outlineLevel="1">
      <c r="B378" s="6" t="s">
        <v>1377</v>
      </c>
      <c r="C378" s="847" t="str">
        <f>DocCluster[[#This Row],[Category EN]]</f>
        <v>Cluster</v>
      </c>
      <c r="D378" s="449" t="s">
        <v>2619</v>
      </c>
      <c r="E378" s="847" t="str">
        <f>DocCluster[[#This Row],[Category DE]]</f>
        <v>Cluster</v>
      </c>
      <c r="F378" s="19" t="s">
        <v>2618</v>
      </c>
      <c r="G378" s="6" t="s">
        <v>204</v>
      </c>
      <c r="H378" s="6" t="s">
        <v>204</v>
      </c>
      <c r="I378" s="6">
        <v>1</v>
      </c>
    </row>
    <row r="379" spans="1:12">
      <c r="K379" s="6"/>
      <c r="L379" s="6"/>
    </row>
    <row r="380" spans="1:12" collapsed="1">
      <c r="A380" s="458"/>
      <c r="B380" s="459" t="s">
        <v>877</v>
      </c>
    </row>
    <row r="381" spans="1:12" hidden="1" outlineLevel="1">
      <c r="A381" s="261"/>
      <c r="B381" s="260"/>
    </row>
    <row r="382" spans="1:12" ht="30" hidden="1" customHeight="1" outlineLevel="1">
      <c r="B382" s="6" t="s">
        <v>877</v>
      </c>
      <c r="C382" s="847" t="s">
        <v>360</v>
      </c>
      <c r="D382" s="449" t="s">
        <v>361</v>
      </c>
      <c r="E382" s="847" t="s">
        <v>362</v>
      </c>
      <c r="F382" s="19" t="s">
        <v>363</v>
      </c>
      <c r="G382" s="6" t="s">
        <v>720</v>
      </c>
    </row>
    <row r="383" spans="1:12" ht="204" hidden="1" outlineLevel="1">
      <c r="B383" s="6" t="s">
        <v>284</v>
      </c>
      <c r="C383" s="847" t="str">
        <f>"Userform " &amp;DocUserForm[[#This Row],[UserForm]]</f>
        <v>Userform Analysis</v>
      </c>
      <c r="D383" s="449" t="s">
        <v>1675</v>
      </c>
      <c r="E383" s="847" t="str">
        <f>DocUserForm[[#This Row],[Header EN]]</f>
        <v>Userform Analysis</v>
      </c>
      <c r="F383" s="19" t="s">
        <v>1672</v>
      </c>
      <c r="G383" s="6">
        <v>1</v>
      </c>
    </row>
    <row r="384" spans="1:12" ht="120" hidden="1" customHeight="1" outlineLevel="1">
      <c r="B384" s="6" t="s">
        <v>878</v>
      </c>
      <c r="C384" s="847" t="s">
        <v>887</v>
      </c>
      <c r="D384" s="449" t="s">
        <v>1674</v>
      </c>
      <c r="E384" s="847" t="str">
        <f>DocUserForm[[#This Row],[Header EN]]</f>
        <v>Userform Analysis Settings</v>
      </c>
      <c r="F384" s="19" t="s">
        <v>1673</v>
      </c>
      <c r="G384" s="6">
        <v>1</v>
      </c>
    </row>
    <row r="385" spans="1:12" ht="191.25" hidden="1" outlineLevel="1">
      <c r="B385" s="6" t="s">
        <v>744</v>
      </c>
      <c r="C385" s="847" t="str">
        <f>"Userform " &amp;DocUserForm[[#This Row],[UserForm]]</f>
        <v>Userform Check</v>
      </c>
      <c r="D385" s="449" t="s">
        <v>2024</v>
      </c>
      <c r="E385" s="847" t="str">
        <f>DocUserForm[[#This Row],[Header EN]]</f>
        <v>Userform Check</v>
      </c>
      <c r="F385" s="19" t="s">
        <v>1813</v>
      </c>
      <c r="G385" s="6">
        <v>0</v>
      </c>
    </row>
    <row r="386" spans="1:12" ht="191.25" hidden="1" outlineLevel="1">
      <c r="B386" s="6" t="s">
        <v>2003</v>
      </c>
      <c r="C386" s="847" t="s">
        <v>2004</v>
      </c>
      <c r="D386" s="449" t="s">
        <v>2006</v>
      </c>
      <c r="E386" s="847" t="str">
        <f>DocUserForm[[#This Row],[Header EN]]</f>
        <v>Userform Edit View</v>
      </c>
      <c r="F386" s="19" t="s">
        <v>2005</v>
      </c>
      <c r="G386" s="6">
        <v>1</v>
      </c>
    </row>
    <row r="387" spans="1:12" ht="89.25" hidden="1" outlineLevel="1">
      <c r="B387" s="6" t="s">
        <v>247</v>
      </c>
      <c r="C387" s="847" t="str">
        <f>"Userform " &amp;DocUserForm[[#This Row],[UserForm]]</f>
        <v>Userform Project</v>
      </c>
      <c r="D387" s="449" t="s">
        <v>2085</v>
      </c>
      <c r="E387" s="847" t="str">
        <f>DocUserForm[[#This Row],[Header EN]]</f>
        <v>Userform Project</v>
      </c>
      <c r="F387" s="19" t="s">
        <v>2084</v>
      </c>
      <c r="G387" s="6">
        <v>0</v>
      </c>
    </row>
    <row r="388" spans="1:12" ht="127.5" hidden="1" outlineLevel="1">
      <c r="B388" s="6" t="s">
        <v>879</v>
      </c>
      <c r="C388" s="847" t="str">
        <f>"Userform " &amp;DocUserForm[[#This Row],[UserForm]]</f>
        <v>Userform Settings</v>
      </c>
      <c r="D388" s="449" t="s">
        <v>1676</v>
      </c>
      <c r="E388" s="847" t="str">
        <f>DocUserForm[[#This Row],[Header EN]]</f>
        <v>Userform Settings</v>
      </c>
      <c r="F388" s="19" t="s">
        <v>1677</v>
      </c>
      <c r="G388" s="6">
        <v>0</v>
      </c>
    </row>
    <row r="389" spans="1:12" ht="127.5" hidden="1" outlineLevel="1">
      <c r="B389" s="6" t="s">
        <v>880</v>
      </c>
      <c r="C389" s="847" t="s">
        <v>888</v>
      </c>
      <c r="D389" s="449" t="s">
        <v>2025</v>
      </c>
      <c r="E389" s="847" t="str">
        <f>DocUserForm[[#This Row],[Header EN]]</f>
        <v>Userform Supply Chain</v>
      </c>
      <c r="F389" s="19" t="s">
        <v>889</v>
      </c>
      <c r="G389" s="6">
        <v>1</v>
      </c>
    </row>
    <row r="390" spans="1:12" ht="267.75" hidden="1" outlineLevel="1">
      <c r="B390" s="6" t="s">
        <v>818</v>
      </c>
      <c r="C390" s="847" t="str">
        <f>"Userform " &amp;DocUserForm[[#This Row],[UserForm]]</f>
        <v>Userform Sync</v>
      </c>
      <c r="D390" s="449" t="s">
        <v>3882</v>
      </c>
      <c r="E390" s="847" t="str">
        <f>DocUserForm[[#This Row],[Header EN]]</f>
        <v>Userform Sync</v>
      </c>
      <c r="F390" s="19" t="s">
        <v>3881</v>
      </c>
      <c r="G390" s="6">
        <v>0</v>
      </c>
    </row>
    <row r="391" spans="1:12" ht="127.5" hidden="1" outlineLevel="1">
      <c r="B391" s="6" t="s">
        <v>1523</v>
      </c>
      <c r="C391" s="847" t="str">
        <f>"Userform " &amp;DocUserForm[[#This Row],[UserForm]]</f>
        <v>Userform CO2</v>
      </c>
      <c r="D391" s="449" t="s">
        <v>2223</v>
      </c>
      <c r="E391" s="847" t="str">
        <f>DocUserForm[[#This Row],[Header EN]]</f>
        <v>Userform CO2</v>
      </c>
      <c r="F391" s="19" t="s">
        <v>2252</v>
      </c>
      <c r="G391" s="6">
        <v>1</v>
      </c>
    </row>
    <row r="392" spans="1:12" hidden="1" outlineLevel="1"/>
    <row r="394" spans="1:12" collapsed="1">
      <c r="A394" s="458"/>
      <c r="B394" s="459" t="s">
        <v>2133</v>
      </c>
    </row>
    <row r="395" spans="1:12" hidden="1" outlineLevel="1">
      <c r="A395" s="456"/>
      <c r="B395" s="456"/>
    </row>
    <row r="396" spans="1:12" ht="30" hidden="1" customHeight="1" outlineLevel="1">
      <c r="B396" s="6" t="s">
        <v>559</v>
      </c>
      <c r="C396" s="847" t="s">
        <v>360</v>
      </c>
      <c r="D396" s="449" t="s">
        <v>361</v>
      </c>
      <c r="E396" s="847" t="s">
        <v>362</v>
      </c>
      <c r="F396" s="19" t="s">
        <v>363</v>
      </c>
      <c r="G396" s="6" t="s">
        <v>367</v>
      </c>
      <c r="H396" s="6" t="s">
        <v>368</v>
      </c>
      <c r="I396" s="6" t="s">
        <v>366</v>
      </c>
      <c r="J396" s="6" t="s">
        <v>369</v>
      </c>
      <c r="K396" s="6" t="s">
        <v>720</v>
      </c>
      <c r="L396" s="6"/>
    </row>
    <row r="397" spans="1:12" ht="63.75" hidden="1" outlineLevel="1">
      <c r="B397" s="6" t="s">
        <v>2545</v>
      </c>
      <c r="C397" s="847" t="str">
        <f>DocLogistics[[#This Row],[Category EN]]&amp;IF(LEN(DocLogistics[[#This Row],[Subcategory EN]])&gt;0," 
" &amp;DocLogistics[[#This Row],[Subcategory EN]],)</f>
        <v>Logistics</v>
      </c>
      <c r="E397" s="847" t="str">
        <f>DocLogistics[[#This Row],[Category DE]]&amp;IF(LEN(DocLogistics[[#This Row],[Subcategory DE]])&gt;0," 
" &amp;DocLogistics[[#This Row],[Subcategory DE]],)</f>
        <v>Logistik</v>
      </c>
      <c r="F397" s="19" t="s">
        <v>2577</v>
      </c>
      <c r="G397" s="6" t="s">
        <v>2133</v>
      </c>
      <c r="I397" s="6" t="s">
        <v>202</v>
      </c>
      <c r="K397" s="6">
        <v>1</v>
      </c>
      <c r="L397" s="6"/>
    </row>
    <row r="398" spans="1:12" hidden="1" outlineLevel="1">
      <c r="B398" s="854" t="s">
        <v>940</v>
      </c>
      <c r="C398" s="847" t="str">
        <f>DocLogistics[[#This Row],[Category EN]]&amp;IF(LEN(DocLogistics[[#This Row],[Subcategory EN]])&gt;0," 
" &amp;DocLogistics[[#This Row],[Subcategory EN]],)</f>
        <v/>
      </c>
      <c r="D398" s="909"/>
      <c r="E398" s="847" t="str">
        <f>DocLogistics[[#This Row],[Category DE]]&amp;IF(LEN(DocLogistics[[#This Row],[Subcategory DE]])&gt;0," 
" &amp;DocLogistics[[#This Row],[Subcategory DE]],)</f>
        <v/>
      </c>
      <c r="F398" s="856"/>
      <c r="G398" s="854"/>
      <c r="H398" s="854"/>
      <c r="I398" s="854"/>
      <c r="J398" s="854"/>
      <c r="K398" s="854"/>
      <c r="L398" s="6"/>
    </row>
    <row r="399" spans="1:12" hidden="1" outlineLevel="1">
      <c r="B399" s="854" t="s">
        <v>408</v>
      </c>
      <c r="C399" s="847" t="str">
        <f>DocLogistics[[#This Row],[Category EN]]&amp;IF(LEN(DocLogistics[[#This Row],[Subcategory EN]])&gt;0," 
" &amp;DocLogistics[[#This Row],[Subcategory EN]],)</f>
        <v/>
      </c>
      <c r="D399" s="909"/>
      <c r="E399" s="847" t="str">
        <f>DocLogistics[[#This Row],[Category DE]]&amp;IF(LEN(DocLogistics[[#This Row],[Subcategory DE]])&gt;0," 
" &amp;DocLogistics[[#This Row],[Subcategory DE]],)</f>
        <v/>
      </c>
      <c r="F399" s="856"/>
      <c r="G399" s="854"/>
      <c r="H399" s="854"/>
      <c r="I399" s="854"/>
      <c r="J399" s="854"/>
      <c r="K399" s="854"/>
      <c r="L399" s="6"/>
    </row>
    <row r="400" spans="1:12" hidden="1" outlineLevel="1">
      <c r="B400" s="854" t="s">
        <v>140</v>
      </c>
      <c r="C400" s="847" t="str">
        <f>DocLogistics[[#This Row],[Category EN]]&amp;IF(LEN(DocLogistics[[#This Row],[Subcategory EN]])&gt;0," 
" &amp;DocLogistics[[#This Row],[Subcategory EN]],)</f>
        <v/>
      </c>
      <c r="D400" s="909"/>
      <c r="E400" s="847" t="str">
        <f>DocLogistics[[#This Row],[Category DE]]&amp;IF(LEN(DocLogistics[[#This Row],[Subcategory DE]])&gt;0," 
" &amp;DocLogistics[[#This Row],[Subcategory DE]],)</f>
        <v/>
      </c>
      <c r="F400" s="856"/>
      <c r="G400" s="854"/>
      <c r="H400" s="854"/>
      <c r="I400" s="854"/>
      <c r="J400" s="854"/>
      <c r="K400" s="854"/>
      <c r="L400" s="6"/>
    </row>
    <row r="401" spans="2:12" hidden="1" outlineLevel="1">
      <c r="B401" s="854" t="s">
        <v>38</v>
      </c>
      <c r="C401" s="847" t="str">
        <f>DocLogistics[[#This Row],[Category EN]]&amp;IF(LEN(DocLogistics[[#This Row],[Subcategory EN]])&gt;0," 
" &amp;DocLogistics[[#This Row],[Subcategory EN]],)</f>
        <v/>
      </c>
      <c r="D401" s="909"/>
      <c r="E401" s="847" t="str">
        <f>DocLogistics[[#This Row],[Category DE]]&amp;IF(LEN(DocLogistics[[#This Row],[Subcategory DE]])&gt;0," 
" &amp;DocLogistics[[#This Row],[Subcategory DE]],)</f>
        <v/>
      </c>
      <c r="F401" s="856"/>
      <c r="G401" s="854"/>
      <c r="H401" s="854"/>
      <c r="I401" s="854"/>
      <c r="J401" s="854"/>
      <c r="K401" s="854"/>
      <c r="L401" s="6"/>
    </row>
    <row r="402" spans="2:12" hidden="1" outlineLevel="1">
      <c r="B402" s="854" t="s">
        <v>121</v>
      </c>
      <c r="C402" s="847" t="str">
        <f>DocLogistics[[#This Row],[Category EN]]&amp;IF(LEN(DocLogistics[[#This Row],[Subcategory EN]])&gt;0," 
" &amp;DocLogistics[[#This Row],[Subcategory EN]],)</f>
        <v/>
      </c>
      <c r="D402" s="909"/>
      <c r="E402" s="847" t="str">
        <f>DocLogistics[[#This Row],[Category DE]]&amp;IF(LEN(DocLogistics[[#This Row],[Subcategory DE]])&gt;0," 
" &amp;DocLogistics[[#This Row],[Subcategory DE]],)</f>
        <v/>
      </c>
      <c r="F402" s="856"/>
      <c r="G402" s="854"/>
      <c r="H402" s="854"/>
      <c r="I402" s="854"/>
      <c r="J402" s="854"/>
      <c r="K402" s="854"/>
      <c r="L402" s="6"/>
    </row>
    <row r="403" spans="2:12" hidden="1" outlineLevel="1">
      <c r="B403" s="854" t="s">
        <v>122</v>
      </c>
      <c r="C403" s="847" t="str">
        <f>DocLogistics[[#This Row],[Category EN]]&amp;IF(LEN(DocLogistics[[#This Row],[Subcategory EN]])&gt;0," 
" &amp;DocLogistics[[#This Row],[Subcategory EN]],)</f>
        <v/>
      </c>
      <c r="D403" s="909"/>
      <c r="E403" s="847" t="str">
        <f>DocLogistics[[#This Row],[Category DE]]&amp;IF(LEN(DocLogistics[[#This Row],[Subcategory DE]])&gt;0," 
" &amp;DocLogistics[[#This Row],[Subcategory DE]],)</f>
        <v/>
      </c>
      <c r="F403" s="856"/>
      <c r="G403" s="854"/>
      <c r="H403" s="854"/>
      <c r="I403" s="854"/>
      <c r="J403" s="854"/>
      <c r="K403" s="854"/>
      <c r="L403" s="6"/>
    </row>
    <row r="404" spans="2:12" hidden="1" outlineLevel="1">
      <c r="B404" s="854" t="s">
        <v>2536</v>
      </c>
      <c r="C404" s="847" t="str">
        <f>DocLogistics[[#This Row],[Category EN]]&amp;IF(LEN(DocLogistics[[#This Row],[Subcategory EN]])&gt;0," 
" &amp;DocLogistics[[#This Row],[Subcategory EN]],)</f>
        <v/>
      </c>
      <c r="D404" s="909"/>
      <c r="E404" s="847" t="str">
        <f>DocLogistics[[#This Row],[Category DE]]&amp;IF(LEN(DocLogistics[[#This Row],[Subcategory DE]])&gt;0," 
" &amp;DocLogistics[[#This Row],[Subcategory DE]],)</f>
        <v>Geometrie</v>
      </c>
      <c r="F404" s="856"/>
      <c r="G404" s="854"/>
      <c r="H404" s="854"/>
      <c r="I404" s="854" t="s">
        <v>2536</v>
      </c>
      <c r="J404" s="854"/>
      <c r="K404" s="854"/>
      <c r="L404" s="6"/>
    </row>
    <row r="405" spans="2:12" ht="25.5" hidden="1" outlineLevel="1">
      <c r="B405" s="854" t="s">
        <v>2544</v>
      </c>
      <c r="C405" s="847" t="str">
        <f>DocLogistics[[#This Row],[Category EN]]&amp;IF(LEN(DocLogistics[[#This Row],[Subcategory EN]])&gt;0," 
" &amp;DocLogistics[[#This Row],[Subcategory EN]],)</f>
        <v/>
      </c>
      <c r="D405" s="909"/>
      <c r="E405" s="847" t="str">
        <f>DocLogistics[[#This Row],[Category DE]]&amp;IF(LEN(DocLogistics[[#This Row],[Subcategory DE]])&gt;0," 
" &amp;DocLogistics[[#This Row],[Subcategory DE]],)</f>
        <v>Indivudualverpackung</v>
      </c>
      <c r="F405" s="856"/>
      <c r="G405" s="854"/>
      <c r="H405" s="854"/>
      <c r="I405" s="854" t="s">
        <v>2544</v>
      </c>
      <c r="J405" s="854"/>
      <c r="K405" s="854"/>
      <c r="L405" s="6"/>
    </row>
    <row r="406" spans="2:12" hidden="1" outlineLevel="1">
      <c r="B406" s="854" t="s">
        <v>2541</v>
      </c>
      <c r="C406" s="847" t="str">
        <f>DocLogistics[[#This Row],[Category EN]]&amp;IF(LEN(DocLogistics[[#This Row],[Subcategory EN]])&gt;0," 
" &amp;DocLogistics[[#This Row],[Subcategory EN]],)</f>
        <v/>
      </c>
      <c r="D406" s="909"/>
      <c r="E406" s="847" t="str">
        <f>DocLogistics[[#This Row],[Category DE]]&amp;IF(LEN(DocLogistics[[#This Row],[Subcategory DE]])&gt;0," 
" &amp;DocLogistics[[#This Row],[Subcategory DE]],)</f>
        <v>Umverpackung</v>
      </c>
      <c r="F406" s="856"/>
      <c r="G406" s="854"/>
      <c r="H406" s="854"/>
      <c r="I406" s="854" t="s">
        <v>2541</v>
      </c>
      <c r="J406" s="854"/>
      <c r="K406" s="854"/>
      <c r="L406" s="6"/>
    </row>
    <row r="407" spans="2:12" hidden="1" outlineLevel="1">
      <c r="B407" s="854" t="s">
        <v>2535</v>
      </c>
      <c r="C407" s="847" t="str">
        <f>DocLogistics[[#This Row],[Category EN]]&amp;IF(LEN(DocLogistics[[#This Row],[Subcategory EN]])&gt;0," 
" &amp;DocLogistics[[#This Row],[Subcategory EN]],)</f>
        <v/>
      </c>
      <c r="D407" s="909"/>
      <c r="E407" s="847" t="str">
        <f>DocLogistics[[#This Row],[Category DE]]&amp;IF(LEN(DocLogistics[[#This Row],[Subcategory DE]])&gt;0," 
" &amp;DocLogistics[[#This Row],[Subcategory DE]],)</f>
        <v>Ladungsträger</v>
      </c>
      <c r="F407" s="856"/>
      <c r="G407" s="854"/>
      <c r="H407" s="854"/>
      <c r="I407" s="854" t="s">
        <v>2540</v>
      </c>
      <c r="J407" s="854"/>
      <c r="K407" s="854"/>
      <c r="L407" s="6"/>
    </row>
    <row r="408" spans="2:12" ht="25.5" hidden="1" outlineLevel="1">
      <c r="B408" s="854" t="s">
        <v>2543</v>
      </c>
      <c r="C408" s="847" t="str">
        <f>DocLogistics[[#This Row],[Category EN]]&amp;IF(LEN(DocLogistics[[#This Row],[Subcategory EN]])&gt;0," 
" &amp;DocLogistics[[#This Row],[Subcategory EN]],)</f>
        <v/>
      </c>
      <c r="D408" s="909"/>
      <c r="E408" s="847" t="str">
        <f>DocLogistics[[#This Row],[Category DE]]&amp;IF(LEN(DocLogistics[[#This Row],[Subcategory DE]])&gt;0," 
" &amp;DocLogistics[[#This Row],[Subcategory DE]],)</f>
        <v>Bauteile je Umverpackung</v>
      </c>
      <c r="F408" s="856"/>
      <c r="G408" s="854"/>
      <c r="H408" s="854"/>
      <c r="I408" s="854" t="s">
        <v>2546</v>
      </c>
      <c r="J408" s="854"/>
      <c r="K408" s="854"/>
      <c r="L408" s="6"/>
    </row>
    <row r="409" spans="2:12" ht="25.5" hidden="1" outlineLevel="1">
      <c r="B409" s="854" t="s">
        <v>2542</v>
      </c>
      <c r="C409" s="847" t="str">
        <f>DocLogistics[[#This Row],[Category EN]]&amp;IF(LEN(DocLogistics[[#This Row],[Subcategory EN]])&gt;0," 
" &amp;DocLogistics[[#This Row],[Subcategory EN]],)</f>
        <v/>
      </c>
      <c r="D409" s="909"/>
      <c r="E409" s="847" t="str">
        <f>DocLogistics[[#This Row],[Category DE]]&amp;IF(LEN(DocLogistics[[#This Row],[Subcategory DE]])&gt;0," 
" &amp;DocLogistics[[#This Row],[Subcategory DE]],)</f>
        <v>Umverpackungen je Ladungsträger</v>
      </c>
      <c r="F409" s="856"/>
      <c r="G409" s="854"/>
      <c r="H409" s="854"/>
      <c r="I409" s="854" t="s">
        <v>2547</v>
      </c>
      <c r="J409" s="854"/>
      <c r="K409" s="854"/>
      <c r="L409" s="6"/>
    </row>
    <row r="410" spans="2:12" hidden="1" outlineLevel="1">
      <c r="B410" s="854" t="s">
        <v>2511</v>
      </c>
      <c r="C410" s="847" t="str">
        <f>DocLogistics[[#This Row],[Category EN]]&amp;IF(LEN(DocLogistics[[#This Row],[Subcategory EN]])&gt;0," 
" &amp;DocLogistics[[#This Row],[Subcategory EN]],)</f>
        <v/>
      </c>
      <c r="D410" s="909"/>
      <c r="E410" s="847" t="str">
        <f>DocLogistics[[#This Row],[Category DE]]&amp;IF(LEN(DocLogistics[[#This Row],[Subcategory DE]])&gt;0," 
" &amp;DocLogistics[[#This Row],[Subcategory DE]],)</f>
        <v>Fahrzeug</v>
      </c>
      <c r="F410" s="856"/>
      <c r="G410" s="854"/>
      <c r="H410" s="854"/>
      <c r="I410" s="854" t="s">
        <v>2548</v>
      </c>
      <c r="J410" s="854"/>
      <c r="K410" s="854"/>
      <c r="L410" s="6"/>
    </row>
    <row r="411" spans="2:12" ht="25.5" hidden="1" outlineLevel="1">
      <c r="B411" s="854" t="s">
        <v>2534</v>
      </c>
      <c r="C411" s="847" t="str">
        <f>DocLogistics[[#This Row],[Category EN]]&amp;IF(LEN(DocLogistics[[#This Row],[Subcategory EN]])&gt;0," 
" &amp;DocLogistics[[#This Row],[Subcategory EN]],)</f>
        <v/>
      </c>
      <c r="D411" s="909"/>
      <c r="E411" s="847" t="str">
        <f>DocLogistics[[#This Row],[Category DE]]&amp;IF(LEN(DocLogistics[[#This Row],[Subcategory DE]])&gt;0," 
" &amp;DocLogistics[[#This Row],[Subcategory DE]],)</f>
        <v>Ladungsträger je Fahrzeug</v>
      </c>
      <c r="F411" s="856"/>
      <c r="G411" s="854"/>
      <c r="H411" s="854"/>
      <c r="I411" s="854" t="s">
        <v>2549</v>
      </c>
      <c r="J411" s="854"/>
      <c r="K411" s="854"/>
      <c r="L411" s="6"/>
    </row>
    <row r="412" spans="2:12" hidden="1" outlineLevel="1">
      <c r="B412" s="854" t="s">
        <v>2533</v>
      </c>
      <c r="C412" s="847" t="str">
        <f>DocLogistics[[#This Row],[Category EN]]&amp;IF(LEN(DocLogistics[[#This Row],[Subcategory EN]])&gt;0," 
" &amp;DocLogistics[[#This Row],[Subcategory EN]],)</f>
        <v/>
      </c>
      <c r="D412" s="909"/>
      <c r="E412" s="847" t="str">
        <f>DocLogistics[[#This Row],[Category DE]]&amp;IF(LEN(DocLogistics[[#This Row],[Subcategory DE]])&gt;0," 
" &amp;DocLogistics[[#This Row],[Subcategory DE]],)</f>
        <v>Container</v>
      </c>
      <c r="F412" s="856"/>
      <c r="G412" s="854"/>
      <c r="H412" s="854"/>
      <c r="I412" s="854" t="s">
        <v>2533</v>
      </c>
      <c r="J412" s="854"/>
      <c r="K412" s="854"/>
      <c r="L412" s="6"/>
    </row>
    <row r="413" spans="2:12" ht="25.5" hidden="1" outlineLevel="1">
      <c r="B413" s="854" t="s">
        <v>2532</v>
      </c>
      <c r="C413" s="847" t="str">
        <f>DocLogistics[[#This Row],[Category EN]]&amp;IF(LEN(DocLogistics[[#This Row],[Subcategory EN]])&gt;0," 
" &amp;DocLogistics[[#This Row],[Subcategory EN]],)</f>
        <v/>
      </c>
      <c r="D413" s="909"/>
      <c r="E413" s="847" t="str">
        <f>DocLogistics[[#This Row],[Category DE]]&amp;IF(LEN(DocLogistics[[#This Row],[Subcategory DE]])&gt;0," 
" &amp;DocLogistics[[#This Row],[Subcategory DE]],)</f>
        <v>Ladungsträger je Container</v>
      </c>
      <c r="F413" s="856"/>
      <c r="G413" s="854"/>
      <c r="H413" s="854"/>
      <c r="I413" s="854" t="s">
        <v>2550</v>
      </c>
      <c r="J413" s="854"/>
      <c r="K413" s="854"/>
      <c r="L413" s="6"/>
    </row>
    <row r="414" spans="2:12" hidden="1" outlineLevel="1">
      <c r="B414" s="854" t="s">
        <v>2531</v>
      </c>
      <c r="C414" s="847" t="str">
        <f>DocLogistics[[#This Row],[Category EN]]&amp;IF(LEN(DocLogistics[[#This Row],[Subcategory EN]])&gt;0," 
" &amp;DocLogistics[[#This Row],[Subcategory EN]],)</f>
        <v/>
      </c>
      <c r="D414" s="909"/>
      <c r="E414" s="847" t="str">
        <f>DocLogistics[[#This Row],[Category DE]]&amp;IF(LEN(DocLogistics[[#This Row],[Subcategory DE]])&gt;0," 
" &amp;DocLogistics[[#This Row],[Subcategory DE]],)</f>
        <v>Verpackungskosten</v>
      </c>
      <c r="F414" s="856"/>
      <c r="G414" s="854"/>
      <c r="H414" s="854"/>
      <c r="I414" s="854" t="s">
        <v>2551</v>
      </c>
      <c r="J414" s="854"/>
      <c r="K414" s="854"/>
      <c r="L414" s="6"/>
    </row>
    <row r="415" spans="2:12" hidden="1" outlineLevel="1">
      <c r="B415" s="854" t="s">
        <v>2530</v>
      </c>
      <c r="C415" s="847" t="str">
        <f>DocLogistics[[#This Row],[Category EN]]&amp;IF(LEN(DocLogistics[[#This Row],[Subcategory EN]])&gt;0," 
" &amp;DocLogistics[[#This Row],[Subcategory EN]],)</f>
        <v/>
      </c>
      <c r="D415" s="909"/>
      <c r="E415" s="847" t="str">
        <f>DocLogistics[[#This Row],[Category DE]]&amp;IF(LEN(DocLogistics[[#This Row],[Subcategory DE]])&gt;0," 
" &amp;DocLogistics[[#This Row],[Subcategory DE]],)</f>
        <v>Transportkosten</v>
      </c>
      <c r="F415" s="856"/>
      <c r="G415" s="854"/>
      <c r="H415" s="854"/>
      <c r="I415" s="854" t="s">
        <v>2552</v>
      </c>
      <c r="J415" s="854"/>
      <c r="K415" s="854"/>
      <c r="L415" s="6"/>
    </row>
    <row r="416" spans="2:12" ht="25.5" hidden="1" outlineLevel="1">
      <c r="B416" s="6" t="s">
        <v>2527</v>
      </c>
      <c r="C416" s="847" t="str">
        <f>C429</f>
        <v>Start</v>
      </c>
      <c r="D416" s="847">
        <f t="shared" ref="D416:J416" si="2">D429</f>
        <v>0</v>
      </c>
      <c r="E416" s="847" t="str">
        <f t="shared" si="2"/>
        <v>Start 
Lieferant</v>
      </c>
      <c r="F416" s="847" t="str">
        <f t="shared" si="2"/>
        <v>Die ID des Lieferanten (siehe Prämissen) am Anfang des Transportweges.</v>
      </c>
      <c r="G416" s="847" t="str">
        <f t="shared" si="2"/>
        <v>Start</v>
      </c>
      <c r="H416" s="847">
        <f t="shared" si="2"/>
        <v>0</v>
      </c>
      <c r="I416" s="847" t="str">
        <f t="shared" si="2"/>
        <v>Start</v>
      </c>
      <c r="J416" s="847" t="str">
        <f t="shared" si="2"/>
        <v>Lieferant</v>
      </c>
      <c r="K416" s="6"/>
      <c r="L416" s="6"/>
    </row>
    <row r="417" spans="2:12" ht="25.5" hidden="1" outlineLevel="1">
      <c r="B417" s="6" t="s">
        <v>2521</v>
      </c>
      <c r="C417" s="847" t="str">
        <f>C435</f>
        <v>Destination</v>
      </c>
      <c r="D417" s="847">
        <f t="shared" ref="D417:J417" si="3">D435</f>
        <v>0</v>
      </c>
      <c r="E417" s="847" t="str">
        <f>E435</f>
        <v>Ziel 
Lieferant</v>
      </c>
      <c r="F417" s="847" t="str">
        <f>F435</f>
        <v>Die ID des Lieferanten (siehe Prämissen) am Ende des Transportweges.</v>
      </c>
      <c r="G417" s="847" t="str">
        <f t="shared" si="3"/>
        <v>Destination</v>
      </c>
      <c r="H417" s="847">
        <f t="shared" si="3"/>
        <v>0</v>
      </c>
      <c r="I417" s="847" t="str">
        <f t="shared" si="3"/>
        <v>Ziel</v>
      </c>
      <c r="J417" s="847" t="str">
        <f t="shared" si="3"/>
        <v>Lieferant</v>
      </c>
      <c r="K417" s="6"/>
      <c r="L417" s="6"/>
    </row>
    <row r="418" spans="2:12" ht="38.25" hidden="1" outlineLevel="1">
      <c r="B418" s="6" t="s">
        <v>2382</v>
      </c>
      <c r="C418" s="847" t="str">
        <f>DocLogistics[[#This Row],[Category EN]]&amp;IF(LEN(DocLogistics[[#This Row],[Subcategory EN]])&gt;0," 
" &amp;DocLogistics[[#This Row],[Subcategory EN]],)</f>
        <v/>
      </c>
      <c r="E418" s="847" t="str">
        <f>DocLogistics[[#This Row],[Category DE]]&amp;IF(LEN(DocLogistics[[#This Row],[Subcategory DE]])&gt;0," 
" &amp;DocLogistics[[#This Row],[Subcategory DE]],)</f>
        <v>Transportkosten Straße 
Total</v>
      </c>
      <c r="F418" s="19" t="s">
        <v>3247</v>
      </c>
      <c r="I418" s="6" t="s">
        <v>3245</v>
      </c>
      <c r="J418" s="6" t="s">
        <v>70</v>
      </c>
      <c r="K418" s="6"/>
      <c r="L418" s="6"/>
    </row>
    <row r="419" spans="2:12" ht="38.25" hidden="1" outlineLevel="1">
      <c r="B419" s="6" t="s">
        <v>3239</v>
      </c>
      <c r="C419" s="847" t="str">
        <f>DocLogistics[[#This Row],[Category EN]]&amp;IF(LEN(DocLogistics[[#This Row],[Subcategory EN]])&gt;0," 
" &amp;DocLogistics[[#This Row],[Subcategory EN]],)</f>
        <v/>
      </c>
      <c r="E419" s="847" t="str">
        <f>DocLogistics[[#This Row],[Category DE]]&amp;IF(LEN(DocLogistics[[#This Row],[Subcategory DE]])&gt;0," 
" &amp;DocLogistics[[#This Row],[Subcategory DE]],)</f>
        <v>Transportkosten Straße 
Kraftstoff</v>
      </c>
      <c r="F419" s="19" t="s">
        <v>3246</v>
      </c>
      <c r="I419" s="6" t="s">
        <v>3245</v>
      </c>
      <c r="J419" s="6" t="s">
        <v>3234</v>
      </c>
      <c r="K419" s="6"/>
      <c r="L419" s="6"/>
    </row>
    <row r="420" spans="2:12" ht="38.25" hidden="1" outlineLevel="1">
      <c r="B420" s="6" t="s">
        <v>3240</v>
      </c>
      <c r="C420" s="847" t="str">
        <f>DocLogistics[[#This Row],[Category EN]]&amp;IF(LEN(DocLogistics[[#This Row],[Subcategory EN]])&gt;0," 
" &amp;DocLogistics[[#This Row],[Subcategory EN]],)</f>
        <v/>
      </c>
      <c r="E420" s="847" t="str">
        <f>DocLogistics[[#This Row],[Category DE]]&amp;IF(LEN(DocLogistics[[#This Row],[Subcategory DE]])&gt;0," 
" &amp;DocLogistics[[#This Row],[Subcategory DE]],)</f>
        <v>Transportkosten Straße 
Personal</v>
      </c>
      <c r="F420" s="19" t="s">
        <v>3249</v>
      </c>
      <c r="I420" s="6" t="s">
        <v>3245</v>
      </c>
      <c r="J420" s="6" t="s">
        <v>2512</v>
      </c>
      <c r="K420" s="6"/>
      <c r="L420" s="6"/>
    </row>
    <row r="421" spans="2:12" ht="51" hidden="1" outlineLevel="1">
      <c r="B421" s="6" t="s">
        <v>3241</v>
      </c>
      <c r="C421" s="847" t="str">
        <f>DocLogistics[[#This Row],[Category EN]]&amp;IF(LEN(DocLogistics[[#This Row],[Subcategory EN]])&gt;0," 
" &amp;DocLogistics[[#This Row],[Subcategory EN]],)</f>
        <v/>
      </c>
      <c r="E421" s="847" t="str">
        <f>DocLogistics[[#This Row],[Category DE]]&amp;IF(LEN(DocLogistics[[#This Row],[Subcategory DE]])&gt;0," 
" &amp;DocLogistics[[#This Row],[Subcategory DE]],)</f>
        <v>Transportkosten Straße 
Sonstige</v>
      </c>
      <c r="F421" s="19" t="s">
        <v>3248</v>
      </c>
      <c r="I421" s="6" t="s">
        <v>3245</v>
      </c>
      <c r="J421" s="6" t="s">
        <v>666</v>
      </c>
      <c r="K421" s="6"/>
      <c r="L421" s="6"/>
    </row>
    <row r="422" spans="2:12" ht="25.5" hidden="1" outlineLevel="1">
      <c r="B422" s="6" t="s">
        <v>2381</v>
      </c>
      <c r="C422" s="847" t="str">
        <f>DocLogistics[[#This Row],[Category EN]]&amp;IF(LEN(DocLogistics[[#This Row],[Subcategory EN]])&gt;0," 
" &amp;DocLogistics[[#This Row],[Subcategory EN]],)</f>
        <v/>
      </c>
      <c r="E422" s="847" t="str">
        <f>DocLogistics[[#This Row],[Category DE]]&amp;IF(LEN(DocLogistics[[#This Row],[Subcategory DE]])&gt;0," 
" &amp;DocLogistics[[#This Row],[Subcategory DE]],)</f>
        <v>Transportkosten Schiene</v>
      </c>
      <c r="I422" s="6" t="s">
        <v>3243</v>
      </c>
      <c r="K422" s="6"/>
      <c r="L422" s="6"/>
    </row>
    <row r="423" spans="2:12" hidden="1" outlineLevel="1">
      <c r="B423" s="6" t="s">
        <v>2379</v>
      </c>
      <c r="C423" s="847" t="str">
        <f>DocLogistics[[#This Row],[Category EN]]&amp;IF(LEN(DocLogistics[[#This Row],[Subcategory EN]])&gt;0," 
" &amp;DocLogistics[[#This Row],[Subcategory EN]],)</f>
        <v/>
      </c>
      <c r="E423" s="847" t="str">
        <f>DocLogistics[[#This Row],[Category DE]]&amp;IF(LEN(DocLogistics[[#This Row],[Subcategory DE]])&gt;0," 
" &amp;DocLogistics[[#This Row],[Subcategory DE]],)</f>
        <v>Transportkosten Luft</v>
      </c>
      <c r="I423" s="6" t="s">
        <v>3244</v>
      </c>
      <c r="K423" s="6"/>
      <c r="L423" s="6"/>
    </row>
    <row r="424" spans="2:12" ht="25.5" hidden="1" outlineLevel="1">
      <c r="B424" s="854" t="s">
        <v>2380</v>
      </c>
      <c r="D424" s="909"/>
      <c r="E424" s="847" t="str">
        <f>DocLogistics[[#This Row],[Category DE]]&amp;IF(LEN(DocLogistics[[#This Row],[Subcategory DE]])&gt;0," 
" &amp;DocLogistics[[#This Row],[Subcategory DE]],)</f>
        <v>Transportkosten See 
Total</v>
      </c>
      <c r="F424" s="856"/>
      <c r="G424" s="854"/>
      <c r="H424" s="854"/>
      <c r="I424" s="6" t="s">
        <v>3242</v>
      </c>
      <c r="J424" s="6" t="s">
        <v>70</v>
      </c>
      <c r="K424" s="854"/>
      <c r="L424" s="6"/>
    </row>
    <row r="425" spans="2:12" ht="25.5" hidden="1" outlineLevel="1">
      <c r="B425" s="6" t="s">
        <v>3274</v>
      </c>
      <c r="C425" s="847" t="str">
        <f>DocLogistics[[#This Row],[Category EN]]&amp;IF(LEN(DocLogistics[[#This Row],[Subcategory EN]])&gt;0," 
" &amp;DocLogistics[[#This Row],[Subcategory EN]],)</f>
        <v/>
      </c>
      <c r="E425" s="847" t="str">
        <f>DocLogistics[[#This Row],[Category DE]]&amp;IF(LEN(DocLogistics[[#This Row],[Subcategory DE]])&gt;0," 
" &amp;DocLogistics[[#This Row],[Subcategory DE]],)</f>
        <v>Transportkosten See 
Transport</v>
      </c>
      <c r="I425" s="6" t="s">
        <v>3242</v>
      </c>
      <c r="J425" s="6" t="s">
        <v>2245</v>
      </c>
      <c r="K425" s="6"/>
      <c r="L425" s="6"/>
    </row>
    <row r="426" spans="2:12" ht="38.25" hidden="1" outlineLevel="1">
      <c r="B426" s="6" t="s">
        <v>3275</v>
      </c>
      <c r="C426" s="847" t="str">
        <f>DocLogistics[[#This Row],[Category EN]]&amp;IF(LEN(DocLogistics[[#This Row],[Subcategory EN]])&gt;0," 
" &amp;DocLogistics[[#This Row],[Subcategory EN]],)</f>
        <v/>
      </c>
      <c r="E426" s="847" t="str">
        <f>DocLogistics[[#This Row],[Category DE]]&amp;IF(LEN(DocLogistics[[#This Row],[Subcategory DE]])&gt;0," 
" &amp;DocLogistics[[#This Row],[Subcategory DE]],)</f>
        <v>Transportkosten See 
Laden und Entladen des Containers</v>
      </c>
      <c r="I426" s="6" t="s">
        <v>3242</v>
      </c>
      <c r="J426" s="6" t="s">
        <v>3276</v>
      </c>
      <c r="K426" s="6"/>
      <c r="L426" s="6"/>
    </row>
    <row r="427" spans="2:12" hidden="1" outlineLevel="1">
      <c r="B427" s="854" t="s">
        <v>2529</v>
      </c>
      <c r="C427" s="847" t="str">
        <f>DocLogistics[[#This Row],[Category EN]]&amp;IF(LEN(DocLogistics[[#This Row],[Subcategory EN]])&gt;0," 
" &amp;DocLogistics[[#This Row],[Subcategory EN]],)</f>
        <v/>
      </c>
      <c r="D427" s="909"/>
      <c r="E427" s="847" t="str">
        <f>DocLogistics[[#This Row],[Category DE]]&amp;IF(LEN(DocLogistics[[#This Row],[Subcategory DE]])&gt;0," 
" &amp;DocLogistics[[#This Row],[Subcategory DE]],)</f>
        <v>Zollkosten</v>
      </c>
      <c r="F427" s="856"/>
      <c r="G427" s="854"/>
      <c r="H427" s="854"/>
      <c r="I427" s="854" t="s">
        <v>2553</v>
      </c>
      <c r="J427" s="854"/>
      <c r="K427" s="854"/>
      <c r="L427" s="6"/>
    </row>
    <row r="428" spans="2:12" hidden="1" outlineLevel="1">
      <c r="B428" s="854" t="s">
        <v>2528</v>
      </c>
      <c r="C428" s="847" t="str">
        <f>DocLogistics[[#This Row],[Category EN]]&amp;IF(LEN(DocLogistics[[#This Row],[Subcategory EN]])&gt;0," 
" &amp;DocLogistics[[#This Row],[Subcategory EN]],)</f>
        <v/>
      </c>
      <c r="D428" s="909"/>
      <c r="E428" s="847" t="str">
        <f>DocLogistics[[#This Row],[Category DE]]&amp;IF(LEN(DocLogistics[[#This Row],[Subcategory DE]])&gt;0," 
" &amp;DocLogistics[[#This Row],[Subcategory DE]],)</f>
        <v>Logistikkosten</v>
      </c>
      <c r="F428" s="856"/>
      <c r="G428" s="854"/>
      <c r="H428" s="854"/>
      <c r="I428" s="854" t="s">
        <v>2554</v>
      </c>
      <c r="J428" s="854"/>
      <c r="K428" s="854"/>
      <c r="L428" s="6"/>
    </row>
    <row r="429" spans="2:12" ht="25.5" hidden="1" outlineLevel="1">
      <c r="B429" s="6" t="s">
        <v>2527</v>
      </c>
      <c r="C429" s="847" t="str">
        <f>DocLogistics[[#This Row],[Category EN]]&amp;IF(LEN(DocLogistics[[#This Row],[Subcategory EN]])&gt;0," 
" &amp;DocLogistics[[#This Row],[Subcategory EN]],)</f>
        <v>Start</v>
      </c>
      <c r="E429" s="847" t="str">
        <f>DocLogistics[[#This Row],[Category DE]]&amp;IF(LEN(DocLogistics[[#This Row],[Subcategory DE]])&gt;0," 
" &amp;DocLogistics[[#This Row],[Subcategory DE]],)</f>
        <v>Start 
Lieferant</v>
      </c>
      <c r="F429" s="19" t="s">
        <v>2567</v>
      </c>
      <c r="G429" s="6" t="s">
        <v>2527</v>
      </c>
      <c r="I429" s="6" t="s">
        <v>2527</v>
      </c>
      <c r="J429" s="6" t="s">
        <v>558</v>
      </c>
      <c r="K429" s="6"/>
      <c r="L429" s="6"/>
    </row>
    <row r="430" spans="2:12" ht="76.5" hidden="1" outlineLevel="1">
      <c r="B430" s="6" t="s">
        <v>2526</v>
      </c>
      <c r="C430" s="847" t="str">
        <f>DocLogistics[[#This Row],[Category EN]]&amp;IF(LEN(DocLogistics[[#This Row],[Subcategory EN]])&gt;0," 
" &amp;DocLogistics[[#This Row],[Subcategory EN]],)</f>
        <v>Start</v>
      </c>
      <c r="E430" s="847" t="str">
        <f>DocLogistics[[#This Row],[Category DE]]&amp;IF(LEN(DocLogistics[[#This Row],[Subcategory DE]])&gt;0," 
" &amp;DocLogistics[[#This Row],[Subcategory DE]],)</f>
        <v>Start 
Latitude in Dezimalgrad</v>
      </c>
      <c r="F430" s="19" t="s">
        <v>2568</v>
      </c>
      <c r="G430" s="6" t="s">
        <v>2527</v>
      </c>
      <c r="I430" s="6" t="s">
        <v>2527</v>
      </c>
      <c r="J430" s="6" t="s">
        <v>2555</v>
      </c>
      <c r="K430" s="6"/>
      <c r="L430" s="6"/>
    </row>
    <row r="431" spans="2:12" ht="76.5" hidden="1" outlineLevel="1">
      <c r="B431" s="6" t="s">
        <v>2525</v>
      </c>
      <c r="C431" s="847" t="str">
        <f>DocLogistics[[#This Row],[Category EN]]&amp;IF(LEN(DocLogistics[[#This Row],[Subcategory EN]])&gt;0," 
" &amp;DocLogistics[[#This Row],[Subcategory EN]],)</f>
        <v>Start</v>
      </c>
      <c r="E431" s="847" t="str">
        <f>DocLogistics[[#This Row],[Category DE]]&amp;IF(LEN(DocLogistics[[#This Row],[Subcategory DE]])&gt;0," 
" &amp;DocLogistics[[#This Row],[Subcategory DE]],)</f>
        <v>Start 
Longitude in Dezimalgrad</v>
      </c>
      <c r="F431" s="19" t="s">
        <v>2569</v>
      </c>
      <c r="G431" s="6" t="s">
        <v>2527</v>
      </c>
      <c r="I431" s="6" t="s">
        <v>2527</v>
      </c>
      <c r="J431" s="6" t="s">
        <v>2556</v>
      </c>
      <c r="K431" s="6"/>
      <c r="L431" s="6"/>
    </row>
    <row r="432" spans="2:12" ht="89.25" hidden="1" outlineLevel="1">
      <c r="B432" s="6" t="s">
        <v>2524</v>
      </c>
      <c r="C432" s="847" t="str">
        <f>DocLogistics[[#This Row],[Category EN]]&amp;IF(LEN(DocLogistics[[#This Row],[Subcategory EN]])&gt;0," 
" &amp;DocLogistics[[#This Row],[Subcategory EN]],)</f>
        <v>Start</v>
      </c>
      <c r="E432" s="847" t="str">
        <f>DocLogistics[[#This Row],[Category DE]]&amp;IF(LEN(DocLogistics[[#This Row],[Subcategory DE]])&gt;0," 
" &amp;DocLogistics[[#This Row],[Subcategory DE]],)</f>
        <v>Start 
Entfernung zum nächsten Hafen</v>
      </c>
      <c r="F432" s="19" t="s">
        <v>2583</v>
      </c>
      <c r="G432" s="6" t="s">
        <v>2527</v>
      </c>
      <c r="I432" s="6" t="s">
        <v>2527</v>
      </c>
      <c r="J432" s="6" t="s">
        <v>2138</v>
      </c>
      <c r="K432" s="6"/>
      <c r="L432" s="6"/>
    </row>
    <row r="433" spans="2:12" ht="89.25" hidden="1" outlineLevel="1">
      <c r="B433" s="6" t="s">
        <v>2523</v>
      </c>
      <c r="C433" s="847" t="str">
        <f>DocLogistics[[#This Row],[Category EN]]&amp;IF(LEN(DocLogistics[[#This Row],[Subcategory EN]])&gt;0," 
" &amp;DocLogistics[[#This Row],[Subcategory EN]],)</f>
        <v>Start</v>
      </c>
      <c r="E433" s="847" t="str">
        <f>DocLogistics[[#This Row],[Category DE]]&amp;IF(LEN(DocLogistics[[#This Row],[Subcategory DE]])&gt;0," 
" &amp;DocLogistics[[#This Row],[Subcategory DE]],)</f>
        <v>Start 
Entfernung zum nächsten Flughafen</v>
      </c>
      <c r="F433" s="19" t="s">
        <v>2581</v>
      </c>
      <c r="G433" s="6" t="s">
        <v>2527</v>
      </c>
      <c r="I433" s="6" t="s">
        <v>2527</v>
      </c>
      <c r="J433" s="6" t="s">
        <v>2495</v>
      </c>
      <c r="K433" s="6"/>
      <c r="L433" s="6"/>
    </row>
    <row r="434" spans="2:12" ht="90" hidden="1" outlineLevel="1" thickBot="1">
      <c r="B434" s="914" t="s">
        <v>2522</v>
      </c>
      <c r="C434" s="915" t="str">
        <f>DocLogistics[[#This Row],[Category EN]]&amp;IF(LEN(DocLogistics[[#This Row],[Subcategory EN]])&gt;0," 
" &amp;DocLogistics[[#This Row],[Subcategory EN]],)</f>
        <v>Start</v>
      </c>
      <c r="D434" s="916"/>
      <c r="E434" s="915" t="str">
        <f>DocLogistics[[#This Row],[Category DE]]&amp;IF(LEN(DocLogistics[[#This Row],[Subcategory DE]])&gt;0," 
" &amp;DocLogistics[[#This Row],[Subcategory DE]],)</f>
        <v>Start 
Entfernung zum nächsten Bahnhof</v>
      </c>
      <c r="F434" s="917" t="s">
        <v>2582</v>
      </c>
      <c r="G434" s="914" t="s">
        <v>2527</v>
      </c>
      <c r="H434" s="914"/>
      <c r="I434" s="914" t="s">
        <v>2527</v>
      </c>
      <c r="J434" s="914" t="s">
        <v>2496</v>
      </c>
      <c r="K434" s="914"/>
      <c r="L434" s="6"/>
    </row>
    <row r="435" spans="2:12" ht="25.5" hidden="1" outlineLevel="1">
      <c r="B435" s="910" t="s">
        <v>2521</v>
      </c>
      <c r="C435" s="911" t="str">
        <f>DocLogistics[[#This Row],[Category EN]]&amp;IF(LEN(DocLogistics[[#This Row],[Subcategory EN]])&gt;0," 
" &amp;DocLogistics[[#This Row],[Subcategory EN]],)</f>
        <v>Destination</v>
      </c>
      <c r="D435" s="912"/>
      <c r="E435" s="911" t="str">
        <f>DocLogistics[[#This Row],[Category DE]]&amp;IF(LEN(DocLogistics[[#This Row],[Subcategory DE]])&gt;0," 
" &amp;DocLogistics[[#This Row],[Subcategory DE]],)</f>
        <v>Ziel 
Lieferant</v>
      </c>
      <c r="F435" s="913" t="s">
        <v>2566</v>
      </c>
      <c r="G435" s="910" t="s">
        <v>2570</v>
      </c>
      <c r="H435" s="910"/>
      <c r="I435" s="910" t="s">
        <v>2521</v>
      </c>
      <c r="J435" s="910" t="s">
        <v>558</v>
      </c>
      <c r="K435" s="910"/>
      <c r="L435" s="6"/>
    </row>
    <row r="436" spans="2:12" ht="76.5" hidden="1" outlineLevel="1">
      <c r="B436" s="6" t="s">
        <v>2520</v>
      </c>
      <c r="C436" s="847" t="str">
        <f>DocLogistics[[#This Row],[Category EN]]&amp;IF(LEN(DocLogistics[[#This Row],[Subcategory EN]])&gt;0," 
" &amp;DocLogistics[[#This Row],[Subcategory EN]],)</f>
        <v>Destination</v>
      </c>
      <c r="E436" s="847" t="str">
        <f>DocLogistics[[#This Row],[Category DE]]&amp;IF(LEN(DocLogistics[[#This Row],[Subcategory DE]])&gt;0," 
" &amp;DocLogistics[[#This Row],[Subcategory DE]],)</f>
        <v>Ziel 
Latitude in Dezimalgrad</v>
      </c>
      <c r="F436" s="19" t="s">
        <v>2565</v>
      </c>
      <c r="G436" s="6" t="s">
        <v>2570</v>
      </c>
      <c r="I436" s="6" t="s">
        <v>2521</v>
      </c>
      <c r="J436" s="6" t="s">
        <v>2555</v>
      </c>
      <c r="K436" s="6"/>
      <c r="L436" s="6"/>
    </row>
    <row r="437" spans="2:12" ht="76.5" hidden="1" outlineLevel="1">
      <c r="B437" s="6" t="s">
        <v>2519</v>
      </c>
      <c r="C437" s="847" t="str">
        <f>DocLogistics[[#This Row],[Category EN]]&amp;IF(LEN(DocLogistics[[#This Row],[Subcategory EN]])&gt;0," 
" &amp;DocLogistics[[#This Row],[Subcategory EN]],)</f>
        <v>Destination</v>
      </c>
      <c r="E437" s="847" t="str">
        <f>DocLogistics[[#This Row],[Category DE]]&amp;IF(LEN(DocLogistics[[#This Row],[Subcategory DE]])&gt;0," 
" &amp;DocLogistics[[#This Row],[Subcategory DE]],)</f>
        <v>Ziel 
Longitude in Dezimalgrad</v>
      </c>
      <c r="F437" s="19" t="s">
        <v>2564</v>
      </c>
      <c r="G437" s="6" t="s">
        <v>2570</v>
      </c>
      <c r="I437" s="6" t="s">
        <v>2521</v>
      </c>
      <c r="J437" s="6" t="s">
        <v>2556</v>
      </c>
      <c r="K437" s="6"/>
      <c r="L437" s="6"/>
    </row>
    <row r="438" spans="2:12" ht="89.25" hidden="1" outlineLevel="1">
      <c r="B438" s="6" t="s">
        <v>2518</v>
      </c>
      <c r="C438" s="847" t="str">
        <f>DocLogistics[[#This Row],[Category EN]]&amp;IF(LEN(DocLogistics[[#This Row],[Subcategory EN]])&gt;0," 
" &amp;DocLogistics[[#This Row],[Subcategory EN]],)</f>
        <v>Destination</v>
      </c>
      <c r="E438" s="847" t="str">
        <f>DocLogistics[[#This Row],[Category DE]]&amp;IF(LEN(DocLogistics[[#This Row],[Subcategory DE]])&gt;0," 
" &amp;DocLogistics[[#This Row],[Subcategory DE]],)</f>
        <v>Ziel 
Entfernung zum nächsten Hafen</v>
      </c>
      <c r="F438" s="19" t="s">
        <v>2583</v>
      </c>
      <c r="G438" s="6" t="s">
        <v>2570</v>
      </c>
      <c r="I438" s="6" t="s">
        <v>2521</v>
      </c>
      <c r="J438" s="6" t="s">
        <v>2138</v>
      </c>
      <c r="K438" s="6"/>
      <c r="L438" s="6"/>
    </row>
    <row r="439" spans="2:12" ht="89.25" hidden="1" outlineLevel="1">
      <c r="B439" s="6" t="s">
        <v>2517</v>
      </c>
      <c r="C439" s="847" t="str">
        <f>DocLogistics[[#This Row],[Category EN]]&amp;IF(LEN(DocLogistics[[#This Row],[Subcategory EN]])&gt;0," 
" &amp;DocLogistics[[#This Row],[Subcategory EN]],)</f>
        <v>Destination</v>
      </c>
      <c r="E439" s="847" t="str">
        <f>DocLogistics[[#This Row],[Category DE]]&amp;IF(LEN(DocLogistics[[#This Row],[Subcategory DE]])&gt;0," 
" &amp;DocLogistics[[#This Row],[Subcategory DE]],)</f>
        <v>Ziel 
Entfernung zum nächsten Flughafen</v>
      </c>
      <c r="F439" s="19" t="s">
        <v>2581</v>
      </c>
      <c r="G439" s="6" t="s">
        <v>2570</v>
      </c>
      <c r="I439" s="6" t="s">
        <v>2521</v>
      </c>
      <c r="J439" s="6" t="s">
        <v>2495</v>
      </c>
      <c r="K439" s="6"/>
      <c r="L439" s="6"/>
    </row>
    <row r="440" spans="2:12" ht="90" hidden="1" outlineLevel="1" thickBot="1">
      <c r="B440" s="6" t="s">
        <v>2516</v>
      </c>
      <c r="C440" s="847" t="str">
        <f>DocLogistics[[#This Row],[Category EN]]&amp;IF(LEN(DocLogistics[[#This Row],[Subcategory EN]])&gt;0," 
" &amp;DocLogistics[[#This Row],[Subcategory EN]],)</f>
        <v>Destination</v>
      </c>
      <c r="E440" s="847" t="str">
        <f>DocLogistics[[#This Row],[Category DE]]&amp;IF(LEN(DocLogistics[[#This Row],[Subcategory DE]])&gt;0," 
" &amp;DocLogistics[[#This Row],[Subcategory DE]],)</f>
        <v>Ziel 
Entfernung zum nächsten Bahnhof</v>
      </c>
      <c r="F440" s="917" t="s">
        <v>2582</v>
      </c>
      <c r="G440" s="6" t="s">
        <v>2570</v>
      </c>
      <c r="I440" s="6" t="s">
        <v>2521</v>
      </c>
      <c r="J440" s="6" t="s">
        <v>2496</v>
      </c>
      <c r="K440" s="6"/>
      <c r="L440" s="6"/>
    </row>
    <row r="441" spans="2:12" ht="51" hidden="1" outlineLevel="1">
      <c r="B441" s="6" t="s">
        <v>2515</v>
      </c>
      <c r="C441" s="847" t="str">
        <f>DocLogistics[[#This Row],[Category EN]]&amp;IF(LEN(DocLogistics[[#This Row],[Subcategory EN]])&gt;0," 
" &amp;DocLogistics[[#This Row],[Subcategory EN]],)</f>
        <v/>
      </c>
      <c r="E441" s="847" t="str">
        <f>DocLogistics[[#This Row],[Category DE]]&amp;IF(LEN(DocLogistics[[#This Row],[Subcategory DE]])&gt;0," 
" &amp;DocLogistics[[#This Row],[Subcategory DE]],)</f>
        <v>Transportmethode</v>
      </c>
      <c r="F441" s="19" t="s">
        <v>2574</v>
      </c>
      <c r="I441" s="6" t="s">
        <v>2557</v>
      </c>
      <c r="K441" s="6"/>
      <c r="L441" s="6"/>
    </row>
    <row r="442" spans="2:12" ht="63.75" hidden="1" outlineLevel="1">
      <c r="B442" s="6" t="s">
        <v>2514</v>
      </c>
      <c r="C442" s="847" t="str">
        <f>DocLogistics[[#This Row],[Category EN]]&amp;IF(LEN(DocLogistics[[#This Row],[Subcategory EN]])&gt;0," 
" &amp;DocLogistics[[#This Row],[Subcategory EN]],)</f>
        <v/>
      </c>
      <c r="E442" s="847" t="str">
        <f>DocLogistics[[#This Row],[Category DE]]&amp;IF(LEN(DocLogistics[[#This Row],[Subcategory DE]])&gt;0," 
" &amp;DocLogistics[[#This Row],[Subcategory DE]],)</f>
        <v>Transportmethode am Start</v>
      </c>
      <c r="F442" s="19" t="s">
        <v>2571</v>
      </c>
      <c r="I442" s="6" t="s">
        <v>2558</v>
      </c>
      <c r="K442" s="6"/>
      <c r="L442" s="6"/>
    </row>
    <row r="443" spans="2:12" ht="63.75" hidden="1" outlineLevel="1">
      <c r="B443" s="6" t="s">
        <v>2513</v>
      </c>
      <c r="C443" s="847" t="str">
        <f>DocLogistics[[#This Row],[Category EN]]&amp;IF(LEN(DocLogistics[[#This Row],[Subcategory EN]])&gt;0," 
" &amp;DocLogistics[[#This Row],[Subcategory EN]],)</f>
        <v/>
      </c>
      <c r="E443" s="847" t="str">
        <f>DocLogistics[[#This Row],[Category DE]]&amp;IF(LEN(DocLogistics[[#This Row],[Subcategory DE]])&gt;0," 
" &amp;DocLogistics[[#This Row],[Subcategory DE]],)</f>
        <v>Transportmethode am Ziel</v>
      </c>
      <c r="F443" s="19" t="s">
        <v>2584</v>
      </c>
      <c r="I443" s="6" t="s">
        <v>2559</v>
      </c>
      <c r="K443" s="6"/>
      <c r="L443" s="6"/>
    </row>
    <row r="444" spans="2:12" ht="76.5" hidden="1" outlineLevel="1">
      <c r="B444" s="6" t="s">
        <v>2512</v>
      </c>
      <c r="C444" s="847" t="str">
        <f>DocLogistics[[#This Row],[Category EN]]&amp;IF(LEN(DocLogistics[[#This Row],[Subcategory EN]])&gt;0," 
" &amp;DocLogistics[[#This Row],[Subcategory EN]],)</f>
        <v/>
      </c>
      <c r="E444" s="847" t="str">
        <f>DocLogistics[[#This Row],[Category DE]]&amp;IF(LEN(DocLogistics[[#This Row],[Subcategory DE]])&gt;0," 
" &amp;DocLogistics[[#This Row],[Subcategory DE]],)</f>
        <v>Herkunft Personal</v>
      </c>
      <c r="F444" s="19" t="s">
        <v>2573</v>
      </c>
      <c r="I444" s="6" t="s">
        <v>2538</v>
      </c>
      <c r="K444" s="6"/>
      <c r="L444" s="6"/>
    </row>
    <row r="445" spans="2:12" ht="25.5" hidden="1" outlineLevel="1">
      <c r="B445" s="6" t="s">
        <v>2562</v>
      </c>
      <c r="C445" s="847" t="str">
        <f>DocLogistics[[#This Row],[Category EN]]&amp;IF(LEN(DocLogistics[[#This Row],[Subcategory EN]])&gt;0," 
" &amp;DocLogistics[[#This Row],[Subcategory EN]],)</f>
        <v/>
      </c>
      <c r="E445" s="847" t="str">
        <f>DocLogistics[[#This Row],[Category DE]]&amp;IF(LEN(DocLogistics[[#This Row],[Subcategory DE]])&gt;0," 
" &amp;DocLogistics[[#This Row],[Subcategory DE]],)</f>
        <v>Distanz am Start in km 
Straße</v>
      </c>
      <c r="F445" s="19" t="s">
        <v>2585</v>
      </c>
      <c r="I445" s="6" t="s">
        <v>2575</v>
      </c>
      <c r="J445" s="6" t="s">
        <v>2382</v>
      </c>
      <c r="K445" s="6"/>
      <c r="L445" s="6"/>
    </row>
    <row r="446" spans="2:12" ht="38.25" hidden="1" outlineLevel="1">
      <c r="B446" s="6" t="s">
        <v>2563</v>
      </c>
      <c r="C446" s="847" t="str">
        <f>DocLogistics[[#This Row],[Category EN]]&amp;IF(LEN(DocLogistics[[#This Row],[Subcategory EN]])&gt;0," 
" &amp;DocLogistics[[#This Row],[Subcategory EN]],)</f>
        <v/>
      </c>
      <c r="E446" s="847" t="str">
        <f>DocLogistics[[#This Row],[Category DE]]&amp;IF(LEN(DocLogistics[[#This Row],[Subcategory DE]])&gt;0," 
" &amp;DocLogistics[[#This Row],[Subcategory DE]],)</f>
        <v>Distanz am Start in km 
Schiene</v>
      </c>
      <c r="F446" s="19" t="s">
        <v>2586</v>
      </c>
      <c r="I446" s="6" t="s">
        <v>2575</v>
      </c>
      <c r="J446" s="6" t="s">
        <v>2381</v>
      </c>
      <c r="K446" s="6"/>
      <c r="L446" s="6"/>
    </row>
    <row r="447" spans="2:12" ht="63.75" hidden="1" outlineLevel="1">
      <c r="B447" s="910" t="s">
        <v>2382</v>
      </c>
      <c r="C447" s="911" t="str">
        <f>DocLogistics[[#This Row],[Category EN]]&amp;IF(LEN(DocLogistics[[#This Row],[Subcategory EN]])&gt;0," 
" &amp;DocLogistics[[#This Row],[Subcategory EN]],)</f>
        <v/>
      </c>
      <c r="D447" s="912"/>
      <c r="E447" s="911" t="str">
        <f>DocLogistics[[#This Row],[Category DE]]&amp;IF(LEN(DocLogistics[[#This Row],[Subcategory DE]])&gt;0," 
" &amp;DocLogistics[[#This Row],[Subcategory DE]],)</f>
        <v>Distanz in km 
Straße</v>
      </c>
      <c r="F447" s="913" t="s">
        <v>2580</v>
      </c>
      <c r="G447" s="910"/>
      <c r="H447" s="910"/>
      <c r="I447" s="910" t="s">
        <v>2537</v>
      </c>
      <c r="J447" s="910" t="s">
        <v>2382</v>
      </c>
      <c r="K447" s="910"/>
      <c r="L447" s="6"/>
    </row>
    <row r="448" spans="2:12" ht="76.5" hidden="1" outlineLevel="1">
      <c r="B448" s="6" t="s">
        <v>2381</v>
      </c>
      <c r="C448" s="847" t="str">
        <f>DocLogistics[[#This Row],[Category EN]]&amp;IF(LEN(DocLogistics[[#This Row],[Subcategory EN]])&gt;0," 
" &amp;DocLogistics[[#This Row],[Subcategory EN]],)</f>
        <v/>
      </c>
      <c r="E448" s="847" t="str">
        <f>DocLogistics[[#This Row],[Category DE]]&amp;IF(LEN(DocLogistics[[#This Row],[Subcategory DE]])&gt;0," 
" &amp;DocLogistics[[#This Row],[Subcategory DE]],)</f>
        <v>Distanz in km 
Schiene</v>
      </c>
      <c r="F448" s="19" t="s">
        <v>2589</v>
      </c>
      <c r="I448" s="6" t="s">
        <v>2537</v>
      </c>
      <c r="J448" s="6" t="s">
        <v>2381</v>
      </c>
      <c r="K448" s="6"/>
      <c r="L448" s="6"/>
    </row>
    <row r="449" spans="1:12" ht="76.5" hidden="1" outlineLevel="1">
      <c r="B449" s="6" t="s">
        <v>2379</v>
      </c>
      <c r="C449" s="847" t="str">
        <f>DocLogistics[[#This Row],[Category EN]]&amp;IF(LEN(DocLogistics[[#This Row],[Subcategory EN]])&gt;0," 
" &amp;DocLogistics[[#This Row],[Subcategory EN]],)</f>
        <v/>
      </c>
      <c r="E449" s="847" t="str">
        <f>DocLogistics[[#This Row],[Category DE]]&amp;IF(LEN(DocLogistics[[#This Row],[Subcategory DE]])&gt;0," 
" &amp;DocLogistics[[#This Row],[Subcategory DE]],)</f>
        <v>Distanz in km 
Luft</v>
      </c>
      <c r="F449" s="19" t="s">
        <v>2588</v>
      </c>
      <c r="I449" s="6" t="s">
        <v>2537</v>
      </c>
      <c r="J449" s="6" t="s">
        <v>2379</v>
      </c>
      <c r="K449" s="6"/>
      <c r="L449" s="6"/>
    </row>
    <row r="450" spans="1:12" ht="90" hidden="1" outlineLevel="1" thickBot="1">
      <c r="B450" s="914" t="s">
        <v>2380</v>
      </c>
      <c r="C450" s="915" t="str">
        <f>DocLogistics[[#This Row],[Category EN]]&amp;IF(LEN(DocLogistics[[#This Row],[Subcategory EN]])&gt;0," 
" &amp;DocLogistics[[#This Row],[Subcategory EN]],)</f>
        <v/>
      </c>
      <c r="D450" s="916"/>
      <c r="E450" s="915" t="str">
        <f>DocLogistics[[#This Row],[Category DE]]&amp;IF(LEN(DocLogistics[[#This Row],[Subcategory DE]])&gt;0," 
" &amp;DocLogistics[[#This Row],[Subcategory DE]],)</f>
        <v>Distanz in km 
See</v>
      </c>
      <c r="F450" s="917" t="s">
        <v>2587</v>
      </c>
      <c r="G450" s="914"/>
      <c r="H450" s="914"/>
      <c r="I450" s="914" t="s">
        <v>2537</v>
      </c>
      <c r="J450" s="914" t="s">
        <v>2380</v>
      </c>
      <c r="K450" s="914"/>
      <c r="L450" s="6"/>
    </row>
    <row r="451" spans="1:12" ht="38.25" hidden="1" outlineLevel="1">
      <c r="B451" s="6" t="s">
        <v>2560</v>
      </c>
      <c r="C451" s="847" t="str">
        <f>DocLogistics[[#This Row],[Category EN]]&amp;IF(LEN(DocLogistics[[#This Row],[Subcategory EN]])&gt;0," 
" &amp;DocLogistics[[#This Row],[Subcategory EN]],)</f>
        <v/>
      </c>
      <c r="E451" s="847" t="str">
        <f>DocLogistics[[#This Row],[Category DE]]&amp;IF(LEN(DocLogistics[[#This Row],[Subcategory DE]])&gt;0," 
" &amp;DocLogistics[[#This Row],[Subcategory DE]],)</f>
        <v>Distanz am Ziel in km 
Schiene</v>
      </c>
      <c r="F451" s="19" t="s">
        <v>2579</v>
      </c>
      <c r="I451" s="6" t="s">
        <v>2576</v>
      </c>
      <c r="J451" s="6" t="s">
        <v>2381</v>
      </c>
      <c r="K451" s="6"/>
      <c r="L451" s="6"/>
    </row>
    <row r="452" spans="1:12" ht="25.5" hidden="1" outlineLevel="1">
      <c r="B452" s="6" t="s">
        <v>2561</v>
      </c>
      <c r="C452" s="847" t="str">
        <f>DocLogistics[[#This Row],[Category EN]]&amp;IF(LEN(DocLogistics[[#This Row],[Subcategory EN]])&gt;0," 
" &amp;DocLogistics[[#This Row],[Subcategory EN]],)</f>
        <v/>
      </c>
      <c r="E452" s="847" t="str">
        <f>DocLogistics[[#This Row],[Category DE]]&amp;IF(LEN(DocLogistics[[#This Row],[Subcategory DE]])&gt;0," 
" &amp;DocLogistics[[#This Row],[Subcategory DE]],)</f>
        <v>Distanz am Ziel in km 
Straße</v>
      </c>
      <c r="F452" s="19" t="s">
        <v>2572</v>
      </c>
      <c r="I452" s="6" t="s">
        <v>2576</v>
      </c>
      <c r="J452" s="6" t="s">
        <v>2382</v>
      </c>
      <c r="K452" s="6"/>
      <c r="L452" s="6"/>
    </row>
    <row r="453" spans="1:12" hidden="1" outlineLevel="1"/>
    <row r="455" spans="1:12" collapsed="1">
      <c r="A455" s="458"/>
      <c r="B455" s="459" t="s">
        <v>1523</v>
      </c>
    </row>
    <row r="456" spans="1:12" hidden="1" outlineLevel="1">
      <c r="A456" s="456"/>
      <c r="B456" s="456"/>
    </row>
    <row r="457" spans="1:12" ht="30" hidden="1" customHeight="1" outlineLevel="1">
      <c r="B457" s="6" t="s">
        <v>559</v>
      </c>
      <c r="C457" s="847" t="s">
        <v>360</v>
      </c>
      <c r="D457" s="449" t="s">
        <v>361</v>
      </c>
      <c r="E457" s="847" t="s">
        <v>362</v>
      </c>
      <c r="F457" s="19" t="s">
        <v>363</v>
      </c>
      <c r="G457" s="6" t="s">
        <v>367</v>
      </c>
      <c r="H457" s="6" t="s">
        <v>366</v>
      </c>
      <c r="I457" s="6" t="s">
        <v>720</v>
      </c>
    </row>
    <row r="458" spans="1:12" ht="38.25" hidden="1" outlineLevel="1">
      <c r="B458" s="6" t="s">
        <v>1377</v>
      </c>
      <c r="C458" s="847" t="str">
        <f>DocCO2[[#This Row],[Category EN]]</f>
        <v>Premises CO2</v>
      </c>
      <c r="D458" s="449" t="s">
        <v>3399</v>
      </c>
      <c r="E458" s="847" t="s">
        <v>3395</v>
      </c>
      <c r="F458" s="19" t="s">
        <v>3400</v>
      </c>
      <c r="G458" s="6" t="s">
        <v>3394</v>
      </c>
      <c r="H458" s="6" t="s">
        <v>3395</v>
      </c>
      <c r="I458" s="6">
        <v>1</v>
      </c>
    </row>
    <row r="459" spans="1:12">
      <c r="K459" s="6"/>
      <c r="L459" s="6"/>
    </row>
    <row r="460" spans="1:12" collapsed="1">
      <c r="A460" s="458"/>
      <c r="B460" s="459" t="s">
        <v>3392</v>
      </c>
    </row>
    <row r="461" spans="1:12" hidden="1" outlineLevel="1">
      <c r="A461" s="456"/>
      <c r="B461" s="456"/>
    </row>
    <row r="462" spans="1:12" ht="30" hidden="1" customHeight="1" outlineLevel="1">
      <c r="B462" s="6" t="s">
        <v>559</v>
      </c>
      <c r="C462" s="847" t="s">
        <v>360</v>
      </c>
      <c r="D462" s="449" t="s">
        <v>361</v>
      </c>
      <c r="E462" s="847" t="s">
        <v>362</v>
      </c>
      <c r="F462" s="19" t="s">
        <v>363</v>
      </c>
      <c r="G462" s="6" t="s">
        <v>367</v>
      </c>
      <c r="H462" s="6" t="s">
        <v>366</v>
      </c>
      <c r="I462" s="6" t="s">
        <v>720</v>
      </c>
    </row>
    <row r="463" spans="1:12" ht="93" hidden="1" customHeight="1" outlineLevel="1">
      <c r="B463" s="6" t="s">
        <v>2135</v>
      </c>
      <c r="C463" s="847" t="str">
        <f>DocClusterCO2[[#This Row],[Category EN]]</f>
        <v>Logistics emissions</v>
      </c>
      <c r="D463" s="449" t="s">
        <v>3699</v>
      </c>
      <c r="E463" s="847" t="str">
        <f>DocClusterCO2[[#This Row],[Category DE]]</f>
        <v>Logistik-Emissionen</v>
      </c>
      <c r="F463" s="449" t="s">
        <v>3700</v>
      </c>
      <c r="G463" s="6" t="s">
        <v>3701</v>
      </c>
      <c r="H463" s="6" t="s">
        <v>3702</v>
      </c>
      <c r="I463" s="6">
        <v>1</v>
      </c>
    </row>
    <row r="464" spans="1:12" ht="126.6" hidden="1" customHeight="1" outlineLevel="1">
      <c r="B464" s="6" t="s">
        <v>3715</v>
      </c>
      <c r="C464" s="847" t="str">
        <f>DocClusterCO2[[#This Row],[Category EN]]</f>
        <v>Tier 2 emissions</v>
      </c>
      <c r="D464" s="449" t="s">
        <v>3721</v>
      </c>
      <c r="E464" s="847" t="str">
        <f>DocClusterCO2[[#This Row],[Category DE]]</f>
        <v>Tier 2 Emissionen</v>
      </c>
      <c r="F464" s="449" t="s">
        <v>3719</v>
      </c>
      <c r="G464" s="6" t="s">
        <v>3712</v>
      </c>
      <c r="H464" s="6" t="s">
        <v>3711</v>
      </c>
    </row>
    <row r="465" spans="2:9" ht="97.15" hidden="1" customHeight="1" outlineLevel="1">
      <c r="B465" s="6" t="s">
        <v>3716</v>
      </c>
      <c r="C465" s="847" t="str">
        <f>DocClusterCO2[[#This Row],[Category EN]]</f>
        <v>Tier 1 emissions</v>
      </c>
      <c r="D465" s="449" t="s">
        <v>3722</v>
      </c>
      <c r="E465" s="847" t="str">
        <f>DocClusterCO2[[#This Row],[Category DE]]</f>
        <v>Tier 1 Emissionen</v>
      </c>
      <c r="F465" s="449" t="s">
        <v>3720</v>
      </c>
      <c r="G465" s="6" t="s">
        <v>3713</v>
      </c>
      <c r="H465" s="6" t="s">
        <v>3714</v>
      </c>
    </row>
    <row r="466" spans="2:9" ht="206.45" hidden="1" customHeight="1" outlineLevel="1">
      <c r="B466" s="6" t="s">
        <v>3683</v>
      </c>
      <c r="C466" s="847" t="str">
        <f>DocClusterCO2[[#This Row],[Category EN]]</f>
        <v>Emissions Scope Description</v>
      </c>
      <c r="D466" s="449" t="s">
        <v>3768</v>
      </c>
      <c r="E466" s="847" t="str">
        <f>DocClusterCO2[[#This Row],[Category DE]]</f>
        <v>Emissions Scope Erklärung</v>
      </c>
      <c r="F466" s="449" t="s">
        <v>3767</v>
      </c>
      <c r="G466" s="6" t="s">
        <v>3703</v>
      </c>
      <c r="H466" s="6" t="s">
        <v>3704</v>
      </c>
      <c r="I466" s="6">
        <v>1</v>
      </c>
    </row>
    <row r="467" spans="2:9" ht="206.45" hidden="1" customHeight="1" outlineLevel="1">
      <c r="B467" s="6" t="s">
        <v>3684</v>
      </c>
      <c r="C467" s="847" t="str">
        <f>C$466</f>
        <v>Emissions Scope Description</v>
      </c>
      <c r="D467" s="847" t="str">
        <f t="shared" ref="D467:H481" si="4">D$466</f>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7" s="847" t="str">
        <f t="shared" si="4"/>
        <v>Emissions Scope Erklärung</v>
      </c>
      <c r="F467"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7" s="847" t="str">
        <f t="shared" si="4"/>
        <v>Emissions Scope Description</v>
      </c>
      <c r="H467" s="847" t="str">
        <f t="shared" si="4"/>
        <v>Emissions Scope Erklärung</v>
      </c>
      <c r="I467" s="6">
        <v>1</v>
      </c>
    </row>
    <row r="468" spans="2:9" ht="206.45" hidden="1" customHeight="1" outlineLevel="1">
      <c r="B468" s="6" t="s">
        <v>3685</v>
      </c>
      <c r="C468" s="847" t="str">
        <f t="shared" ref="C468:C481" si="5">C$466</f>
        <v>Emissions Scope Description</v>
      </c>
      <c r="D468"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8" s="847" t="str">
        <f t="shared" si="4"/>
        <v>Emissions Scope Erklärung</v>
      </c>
      <c r="F468"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8" s="847" t="str">
        <f t="shared" si="4"/>
        <v>Emissions Scope Description</v>
      </c>
      <c r="H468" s="847" t="str">
        <f t="shared" si="4"/>
        <v>Emissions Scope Erklärung</v>
      </c>
      <c r="I468" s="6">
        <v>1</v>
      </c>
    </row>
    <row r="469" spans="2:9" ht="206.45" hidden="1" customHeight="1" outlineLevel="1">
      <c r="B469" s="6" t="s">
        <v>3686</v>
      </c>
      <c r="C469" s="847" t="str">
        <f t="shared" si="5"/>
        <v>Emissions Scope Description</v>
      </c>
      <c r="D469"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9" s="847" t="str">
        <f t="shared" si="4"/>
        <v>Emissions Scope Erklärung</v>
      </c>
      <c r="F469"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9" s="847" t="str">
        <f t="shared" si="4"/>
        <v>Emissions Scope Description</v>
      </c>
      <c r="H469" s="847" t="str">
        <f t="shared" si="4"/>
        <v>Emissions Scope Erklärung</v>
      </c>
      <c r="I469" s="6">
        <v>1</v>
      </c>
    </row>
    <row r="470" spans="2:9" ht="206.45" hidden="1" customHeight="1" outlineLevel="1">
      <c r="B470" s="6" t="s">
        <v>3687</v>
      </c>
      <c r="C470" s="847" t="str">
        <f t="shared" si="5"/>
        <v>Emissions Scope Description</v>
      </c>
      <c r="D470"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0" s="847" t="str">
        <f t="shared" si="4"/>
        <v>Emissions Scope Erklärung</v>
      </c>
      <c r="F470"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0" s="847" t="str">
        <f t="shared" si="4"/>
        <v>Emissions Scope Description</v>
      </c>
      <c r="H470" s="847" t="str">
        <f t="shared" si="4"/>
        <v>Emissions Scope Erklärung</v>
      </c>
      <c r="I470" s="6">
        <v>1</v>
      </c>
    </row>
    <row r="471" spans="2:9" ht="206.45" hidden="1" customHeight="1" outlineLevel="1">
      <c r="B471" s="6" t="s">
        <v>3688</v>
      </c>
      <c r="C471" s="847" t="str">
        <f t="shared" si="5"/>
        <v>Emissions Scope Description</v>
      </c>
      <c r="D471"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1" s="847" t="str">
        <f t="shared" si="4"/>
        <v>Emissions Scope Erklärung</v>
      </c>
      <c r="F471"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1" s="847" t="str">
        <f t="shared" si="4"/>
        <v>Emissions Scope Description</v>
      </c>
      <c r="H471" s="847" t="str">
        <f t="shared" si="4"/>
        <v>Emissions Scope Erklärung</v>
      </c>
      <c r="I471" s="6">
        <v>1</v>
      </c>
    </row>
    <row r="472" spans="2:9" ht="206.45" hidden="1" customHeight="1" outlineLevel="1">
      <c r="B472" s="6" t="s">
        <v>3689</v>
      </c>
      <c r="C472" s="847" t="str">
        <f t="shared" si="5"/>
        <v>Emissions Scope Description</v>
      </c>
      <c r="D472"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2" s="847" t="str">
        <f t="shared" si="4"/>
        <v>Emissions Scope Erklärung</v>
      </c>
      <c r="F472"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2" s="847" t="str">
        <f t="shared" si="4"/>
        <v>Emissions Scope Description</v>
      </c>
      <c r="H472" s="847" t="str">
        <f t="shared" si="4"/>
        <v>Emissions Scope Erklärung</v>
      </c>
      <c r="I472" s="6">
        <v>1</v>
      </c>
    </row>
    <row r="473" spans="2:9" ht="206.45" hidden="1" customHeight="1" outlineLevel="1">
      <c r="B473" s="6" t="s">
        <v>3690</v>
      </c>
      <c r="C473" s="847" t="str">
        <f t="shared" si="5"/>
        <v>Emissions Scope Description</v>
      </c>
      <c r="D473"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3" s="847" t="str">
        <f t="shared" si="4"/>
        <v>Emissions Scope Erklärung</v>
      </c>
      <c r="F473"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3" s="847" t="str">
        <f t="shared" si="4"/>
        <v>Emissions Scope Description</v>
      </c>
      <c r="H473" s="847" t="str">
        <f t="shared" si="4"/>
        <v>Emissions Scope Erklärung</v>
      </c>
      <c r="I473" s="6">
        <v>1</v>
      </c>
    </row>
    <row r="474" spans="2:9" ht="206.45" hidden="1" customHeight="1" outlineLevel="1">
      <c r="B474" s="6" t="s">
        <v>3691</v>
      </c>
      <c r="C474" s="847" t="str">
        <f t="shared" si="5"/>
        <v>Emissions Scope Description</v>
      </c>
      <c r="D474"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4" s="847" t="str">
        <f t="shared" si="4"/>
        <v>Emissions Scope Erklärung</v>
      </c>
      <c r="F474"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4" s="847" t="str">
        <f t="shared" si="4"/>
        <v>Emissions Scope Description</v>
      </c>
      <c r="H474" s="847" t="str">
        <f t="shared" si="4"/>
        <v>Emissions Scope Erklärung</v>
      </c>
      <c r="I474" s="6">
        <v>1</v>
      </c>
    </row>
    <row r="475" spans="2:9" ht="206.45" hidden="1" customHeight="1" outlineLevel="1">
      <c r="B475" s="6" t="s">
        <v>3692</v>
      </c>
      <c r="C475" s="847" t="str">
        <f t="shared" si="5"/>
        <v>Emissions Scope Description</v>
      </c>
      <c r="D475"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5" s="847" t="str">
        <f t="shared" si="4"/>
        <v>Emissions Scope Erklärung</v>
      </c>
      <c r="F475"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5" s="847" t="str">
        <f t="shared" si="4"/>
        <v>Emissions Scope Description</v>
      </c>
      <c r="H475" s="847" t="str">
        <f t="shared" si="4"/>
        <v>Emissions Scope Erklärung</v>
      </c>
      <c r="I475" s="6">
        <v>1</v>
      </c>
    </row>
    <row r="476" spans="2:9" ht="206.45" hidden="1" customHeight="1" outlineLevel="1">
      <c r="B476" s="6" t="s">
        <v>3693</v>
      </c>
      <c r="C476" s="847" t="str">
        <f t="shared" si="5"/>
        <v>Emissions Scope Description</v>
      </c>
      <c r="D476"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6" s="847" t="str">
        <f t="shared" si="4"/>
        <v>Emissions Scope Erklärung</v>
      </c>
      <c r="F476"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6" s="847" t="str">
        <f t="shared" si="4"/>
        <v>Emissions Scope Description</v>
      </c>
      <c r="H476" s="847" t="str">
        <f t="shared" si="4"/>
        <v>Emissions Scope Erklärung</v>
      </c>
      <c r="I476" s="6">
        <v>1</v>
      </c>
    </row>
    <row r="477" spans="2:9" ht="206.45" hidden="1" customHeight="1" outlineLevel="1">
      <c r="B477" s="6" t="s">
        <v>3694</v>
      </c>
      <c r="C477" s="847" t="str">
        <f t="shared" si="5"/>
        <v>Emissions Scope Description</v>
      </c>
      <c r="D477"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7" s="847" t="str">
        <f t="shared" si="4"/>
        <v>Emissions Scope Erklärung</v>
      </c>
      <c r="F477"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7" s="847" t="str">
        <f t="shared" si="4"/>
        <v>Emissions Scope Description</v>
      </c>
      <c r="H477" s="847" t="str">
        <f t="shared" si="4"/>
        <v>Emissions Scope Erklärung</v>
      </c>
      <c r="I477" s="6">
        <v>1</v>
      </c>
    </row>
    <row r="478" spans="2:9" ht="206.45" hidden="1" customHeight="1" outlineLevel="1">
      <c r="B478" s="6" t="s">
        <v>3695</v>
      </c>
      <c r="C478" s="847" t="str">
        <f t="shared" si="5"/>
        <v>Emissions Scope Description</v>
      </c>
      <c r="D478"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8" s="847" t="str">
        <f t="shared" si="4"/>
        <v>Emissions Scope Erklärung</v>
      </c>
      <c r="F478"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8" s="847" t="str">
        <f t="shared" si="4"/>
        <v>Emissions Scope Description</v>
      </c>
      <c r="H478" s="847" t="str">
        <f t="shared" si="4"/>
        <v>Emissions Scope Erklärung</v>
      </c>
      <c r="I478" s="6">
        <v>1</v>
      </c>
    </row>
    <row r="479" spans="2:9" ht="206.45" hidden="1" customHeight="1" outlineLevel="1">
      <c r="B479" s="6" t="s">
        <v>3696</v>
      </c>
      <c r="C479" s="847" t="str">
        <f t="shared" si="5"/>
        <v>Emissions Scope Description</v>
      </c>
      <c r="D479"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9" s="847" t="str">
        <f t="shared" si="4"/>
        <v>Emissions Scope Erklärung</v>
      </c>
      <c r="F479"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9" s="847" t="str">
        <f t="shared" si="4"/>
        <v>Emissions Scope Description</v>
      </c>
      <c r="H479" s="847" t="str">
        <f t="shared" si="4"/>
        <v>Emissions Scope Erklärung</v>
      </c>
      <c r="I479" s="6">
        <v>1</v>
      </c>
    </row>
    <row r="480" spans="2:9" ht="206.45" hidden="1" customHeight="1" outlineLevel="1">
      <c r="B480" s="6" t="s">
        <v>3697</v>
      </c>
      <c r="C480" s="847" t="str">
        <f t="shared" si="5"/>
        <v>Emissions Scope Description</v>
      </c>
      <c r="D480"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80" s="847" t="str">
        <f t="shared" si="4"/>
        <v>Emissions Scope Erklärung</v>
      </c>
      <c r="F480"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80" s="847" t="str">
        <f t="shared" si="4"/>
        <v>Emissions Scope Description</v>
      </c>
      <c r="H480" s="847" t="str">
        <f t="shared" si="4"/>
        <v>Emissions Scope Erklärung</v>
      </c>
      <c r="I480" s="6">
        <v>1</v>
      </c>
    </row>
    <row r="481" spans="1:12" ht="206.45" hidden="1" customHeight="1" outlineLevel="1">
      <c r="B481" s="6" t="s">
        <v>3698</v>
      </c>
      <c r="C481" s="847" t="str">
        <f t="shared" si="5"/>
        <v>Emissions Scope Description</v>
      </c>
      <c r="D481" s="847"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81" s="847" t="str">
        <f t="shared" si="4"/>
        <v>Emissions Scope Erklärung</v>
      </c>
      <c r="F481" s="847"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81" s="847" t="str">
        <f t="shared" si="4"/>
        <v>Emissions Scope Description</v>
      </c>
      <c r="H481" s="847" t="str">
        <f t="shared" si="4"/>
        <v>Emissions Scope Erklärung</v>
      </c>
      <c r="I481" s="6">
        <v>1</v>
      </c>
    </row>
    <row r="482" spans="1:12" ht="246" hidden="1" customHeight="1" outlineLevel="1">
      <c r="B482" s="6" t="s">
        <v>1377</v>
      </c>
      <c r="C482" s="847" t="str">
        <f>DocClusterCO2[[#This Row],[Category EN]]</f>
        <v>Cluster CO2</v>
      </c>
      <c r="D482" s="449" t="s">
        <v>3401</v>
      </c>
      <c r="E482" s="847" t="str">
        <f>DocClusterCO2[[#This Row],[Category DE]]</f>
        <v>Cluster CO2</v>
      </c>
      <c r="F482" s="19" t="s">
        <v>3402</v>
      </c>
      <c r="G482" s="6" t="s">
        <v>3393</v>
      </c>
      <c r="H482" s="6" t="s">
        <v>3393</v>
      </c>
      <c r="I482" s="6">
        <v>1</v>
      </c>
    </row>
    <row r="483" spans="1:12">
      <c r="K483" s="6"/>
      <c r="L483" s="6"/>
    </row>
    <row r="484" spans="1:12" collapsed="1">
      <c r="A484" s="458"/>
      <c r="B484" s="459" t="s">
        <v>3456</v>
      </c>
    </row>
    <row r="485" spans="1:12" hidden="1" outlineLevel="1">
      <c r="A485" s="456"/>
      <c r="B485" s="456"/>
    </row>
    <row r="486" spans="1:12" ht="30" hidden="1" customHeight="1" outlineLevel="1">
      <c r="B486" s="6" t="s">
        <v>559</v>
      </c>
      <c r="C486" s="847" t="s">
        <v>360</v>
      </c>
      <c r="D486" s="449" t="s">
        <v>361</v>
      </c>
      <c r="E486" s="847" t="s">
        <v>362</v>
      </c>
      <c r="F486" s="19" t="s">
        <v>363</v>
      </c>
      <c r="G486" s="6" t="s">
        <v>367</v>
      </c>
      <c r="H486" s="6" t="s">
        <v>366</v>
      </c>
      <c r="I486" s="6" t="s">
        <v>720</v>
      </c>
    </row>
    <row r="487" spans="1:12" ht="87.6" hidden="1" customHeight="1" outlineLevel="1">
      <c r="B487" s="6" t="s">
        <v>3463</v>
      </c>
      <c r="C487" s="847" t="str">
        <f>DocEBOM[[#This Row],[Category EN]]</f>
        <v>Group</v>
      </c>
      <c r="D487" s="449" t="s">
        <v>3624</v>
      </c>
      <c r="E487" s="847" t="str">
        <f>DocEBOM[[#This Row],[Category DE]]</f>
        <v>Klassifizierung</v>
      </c>
      <c r="F487" s="19" t="s">
        <v>3599</v>
      </c>
      <c r="G487" s="6" t="s">
        <v>3508</v>
      </c>
      <c r="H487" s="6" t="s">
        <v>3463</v>
      </c>
      <c r="I487" s="6">
        <v>1</v>
      </c>
    </row>
    <row r="488" spans="1:12" ht="88.15" hidden="1" customHeight="1" outlineLevel="1">
      <c r="B488" s="6" t="s">
        <v>3464</v>
      </c>
      <c r="C488" s="847" t="str">
        <f>DocEBOM[[#This Row],[Category EN]]</f>
        <v>Type</v>
      </c>
      <c r="D488" s="449" t="s">
        <v>3625</v>
      </c>
      <c r="E488" s="847" t="str">
        <f>DocEBOM[[#This Row],[Category DE]]</f>
        <v>Typ</v>
      </c>
      <c r="F488" s="19" t="s">
        <v>3600</v>
      </c>
      <c r="G488" s="6" t="s">
        <v>3509</v>
      </c>
      <c r="H488" s="6" t="s">
        <v>3464</v>
      </c>
      <c r="I488" s="6">
        <v>1</v>
      </c>
    </row>
    <row r="489" spans="1:12" ht="39.6" hidden="1" customHeight="1" outlineLevel="1">
      <c r="B489" s="6" t="s">
        <v>3465</v>
      </c>
      <c r="C489" s="847" t="str">
        <f>DocEBOM[[#This Row],[Category EN]]</f>
        <v>Marking on component</v>
      </c>
      <c r="D489" s="449" t="s">
        <v>3626</v>
      </c>
      <c r="E489" s="847" t="str">
        <f>DocEBOM[[#This Row],[Category DE]]</f>
        <v>Bauteilbeschriftung</v>
      </c>
      <c r="F489" s="19" t="s">
        <v>3601</v>
      </c>
      <c r="G489" s="6" t="s">
        <v>3510</v>
      </c>
      <c r="H489" s="6" t="s">
        <v>3465</v>
      </c>
      <c r="I489" s="6">
        <v>1</v>
      </c>
    </row>
    <row r="490" spans="1:12" ht="45" hidden="1" customHeight="1" outlineLevel="1">
      <c r="B490" s="1094" t="s">
        <v>3576</v>
      </c>
      <c r="C490" s="847" t="str">
        <f>DocEBOM[[#This Row],[Category EN]]</f>
        <v>Quantity 
Top Side</v>
      </c>
      <c r="D490" s="1095" t="s">
        <v>3627</v>
      </c>
      <c r="E490" s="847" t="str">
        <f>DocEBOM[[#This Row],[Category DE]]</f>
        <v>Anzahl 
Oberseite</v>
      </c>
      <c r="F490" s="1081" t="s">
        <v>3602</v>
      </c>
      <c r="G490" s="1094" t="s">
        <v>3511</v>
      </c>
      <c r="H490" s="1094" t="s">
        <v>3576</v>
      </c>
      <c r="I490" s="6">
        <v>1</v>
      </c>
    </row>
    <row r="491" spans="1:12" ht="45" hidden="1" customHeight="1" outlineLevel="1">
      <c r="B491" s="1094" t="s">
        <v>3577</v>
      </c>
      <c r="C491" s="847" t="str">
        <f>DocEBOM[[#This Row],[Category EN]]</f>
        <v>Quantity 
Bottom Side</v>
      </c>
      <c r="D491" s="1095" t="s">
        <v>3628</v>
      </c>
      <c r="E491" s="847" t="str">
        <f>DocEBOM[[#This Row],[Category DE]]</f>
        <v>Anzahl 
Unterseite</v>
      </c>
      <c r="F491" s="1081" t="s">
        <v>3603</v>
      </c>
      <c r="G491" s="1094" t="s">
        <v>3575</v>
      </c>
      <c r="H491" s="1094" t="s">
        <v>3577</v>
      </c>
      <c r="I491" s="6">
        <v>1</v>
      </c>
    </row>
    <row r="492" spans="1:12" ht="35.450000000000003" hidden="1" customHeight="1" outlineLevel="1">
      <c r="B492" s="1094" t="s">
        <v>3466</v>
      </c>
      <c r="C492" s="847" t="str">
        <f>DocEBOM[[#This Row],[Category EN]]</f>
        <v>Quantity 
Total</v>
      </c>
      <c r="D492" s="1095" t="s">
        <v>3629</v>
      </c>
      <c r="E492" s="847" t="str">
        <f>DocEBOM[[#This Row],[Category DE]]</f>
        <v>Anzahl 
gesamt</v>
      </c>
      <c r="F492" s="1081" t="s">
        <v>3604</v>
      </c>
      <c r="G492" s="1094" t="s">
        <v>3512</v>
      </c>
      <c r="H492" s="1094" t="s">
        <v>3466</v>
      </c>
      <c r="I492" s="6">
        <v>1</v>
      </c>
    </row>
    <row r="493" spans="1:12" ht="77.45" hidden="1" customHeight="1" outlineLevel="1">
      <c r="B493" s="1094" t="s">
        <v>3467</v>
      </c>
      <c r="C493" s="847" t="s">
        <v>3467</v>
      </c>
      <c r="D493" s="1095" t="s">
        <v>3630</v>
      </c>
      <c r="E493" s="847" t="s">
        <v>3467</v>
      </c>
      <c r="F493" s="1081" t="s">
        <v>3605</v>
      </c>
      <c r="G493" s="1094" t="s">
        <v>3573</v>
      </c>
      <c r="H493" s="1094" t="s">
        <v>3573</v>
      </c>
      <c r="I493" s="6">
        <v>1</v>
      </c>
    </row>
    <row r="494" spans="1:12" ht="63" hidden="1" customHeight="1" outlineLevel="1">
      <c r="B494" s="1094" t="s">
        <v>2128</v>
      </c>
      <c r="C494" s="847" t="str">
        <f>DocEBOM[[#This Row],[Category EN]]</f>
        <v>Description</v>
      </c>
      <c r="D494" s="1095" t="s">
        <v>3631</v>
      </c>
      <c r="E494" s="847" t="s">
        <v>2128</v>
      </c>
      <c r="F494" s="1081" t="s">
        <v>3606</v>
      </c>
      <c r="G494" s="1094" t="s">
        <v>69</v>
      </c>
      <c r="H494" s="1094" t="s">
        <v>2128</v>
      </c>
      <c r="I494" s="6">
        <v>1</v>
      </c>
    </row>
    <row r="495" spans="1:12" ht="78.599999999999994" hidden="1" customHeight="1" outlineLevel="1">
      <c r="B495" s="1094" t="s">
        <v>3468</v>
      </c>
      <c r="C495" s="847" t="str">
        <f>DocEBOM[[#This Row],[Category EN]]</f>
        <v>Manufacturer</v>
      </c>
      <c r="D495" s="1095" t="s">
        <v>3632</v>
      </c>
      <c r="E495" s="847" t="str">
        <f>DocEBOM[[#This Row],[Category DE]]</f>
        <v>Hersteller</v>
      </c>
      <c r="F495" s="1081" t="s">
        <v>3607</v>
      </c>
      <c r="G495" s="1094" t="s">
        <v>3513</v>
      </c>
      <c r="H495" s="1094" t="s">
        <v>3468</v>
      </c>
      <c r="I495" s="6">
        <v>1</v>
      </c>
    </row>
    <row r="496" spans="1:12" ht="78.599999999999994" hidden="1" customHeight="1" outlineLevel="1">
      <c r="B496" s="1094" t="s">
        <v>3469</v>
      </c>
      <c r="C496" s="847" t="str">
        <f>DocEBOM[[#This Row],[Category EN]]</f>
        <v>Manufacturer 
Part Number</v>
      </c>
      <c r="D496" s="1095" t="s">
        <v>3633</v>
      </c>
      <c r="E496" s="847" t="str">
        <f>DocEBOM[[#This Row],[Category DE]]</f>
        <v>Hersteller Teilenummer</v>
      </c>
      <c r="F496" s="1081" t="s">
        <v>3608</v>
      </c>
      <c r="G496" s="1094" t="s">
        <v>3514</v>
      </c>
      <c r="H496" s="1094" t="s">
        <v>3469</v>
      </c>
      <c r="I496" s="6">
        <v>1</v>
      </c>
    </row>
    <row r="497" spans="2:12" ht="49.9" hidden="1" customHeight="1" outlineLevel="1">
      <c r="B497" s="1094" t="s">
        <v>3470</v>
      </c>
      <c r="C497" s="847" t="str">
        <f>DocEBOM[[#This Row],[Category EN]]</f>
        <v>Reference 
Part Number</v>
      </c>
      <c r="D497" s="1095" t="s">
        <v>3634</v>
      </c>
      <c r="E497" s="847" t="str">
        <f>DocEBOM[[#This Row],[Category DE]]</f>
        <v>Referenz-Hersteller Teilenummer</v>
      </c>
      <c r="F497" s="1081" t="s">
        <v>3609</v>
      </c>
      <c r="G497" s="1094" t="s">
        <v>3515</v>
      </c>
      <c r="H497" s="1094" t="s">
        <v>3470</v>
      </c>
      <c r="I497" s="6">
        <v>1</v>
      </c>
    </row>
    <row r="498" spans="2:12" ht="36.6" hidden="1" customHeight="1" outlineLevel="1">
      <c r="B498" s="1094" t="s">
        <v>3471</v>
      </c>
      <c r="C498" s="847" t="str">
        <f>DocEBOM[[#This Row],[Category EN]]</f>
        <v>No of Pins/Pads</v>
      </c>
      <c r="D498" s="1095" t="s">
        <v>3635</v>
      </c>
      <c r="E498" s="847" t="str">
        <f>DocEBOM[[#This Row],[Category DE]]</f>
        <v>Anzahl der Pins</v>
      </c>
      <c r="F498" s="1081" t="s">
        <v>3610</v>
      </c>
      <c r="G498" s="1094" t="s">
        <v>3516</v>
      </c>
      <c r="H498" s="1094" t="s">
        <v>3471</v>
      </c>
      <c r="I498" s="6">
        <v>1</v>
      </c>
    </row>
    <row r="499" spans="2:12" ht="63.6" hidden="1" customHeight="1" outlineLevel="1">
      <c r="B499" s="1094" t="s">
        <v>3472</v>
      </c>
      <c r="C499" s="847" t="s">
        <v>3517</v>
      </c>
      <c r="D499" s="1095" t="s">
        <v>3636</v>
      </c>
      <c r="E499" s="847" t="s">
        <v>3472</v>
      </c>
      <c r="F499" s="1081" t="s">
        <v>3611</v>
      </c>
      <c r="G499" s="1094" t="s">
        <v>3579</v>
      </c>
      <c r="H499" s="1094" t="s">
        <v>3574</v>
      </c>
      <c r="I499" s="6">
        <v>1</v>
      </c>
    </row>
    <row r="500" spans="2:12" ht="75.599999999999994" hidden="1" customHeight="1" outlineLevel="1">
      <c r="B500" s="1094" t="s">
        <v>1366</v>
      </c>
      <c r="C500" s="847" t="str">
        <f>DocEBOM[[#This Row],[Category EN]]</f>
        <v>Source</v>
      </c>
      <c r="D500" s="1095" t="s">
        <v>3637</v>
      </c>
      <c r="E500" s="847" t="str">
        <f>DocEBOM[[#This Row],[Category DE]]</f>
        <v>Quelle</v>
      </c>
      <c r="F500" s="1081" t="s">
        <v>3612</v>
      </c>
      <c r="G500" s="1094" t="s">
        <v>915</v>
      </c>
      <c r="H500" s="1094" t="s">
        <v>914</v>
      </c>
      <c r="I500" s="6">
        <v>1</v>
      </c>
    </row>
    <row r="501" spans="2:12" ht="84" hidden="1" customHeight="1" outlineLevel="1">
      <c r="B501" s="1094" t="s">
        <v>3473</v>
      </c>
      <c r="C501" s="847" t="str">
        <f>DocEBOM[[#This Row],[Category EN]]</f>
        <v>Purchasing Volume</v>
      </c>
      <c r="D501" s="1095" t="s">
        <v>3638</v>
      </c>
      <c r="E501" s="847" t="str">
        <f>DocEBOM[[#This Row],[Category DE]]</f>
        <v>Einkaufsvolumen</v>
      </c>
      <c r="F501" s="1081" t="s">
        <v>3613</v>
      </c>
      <c r="G501" s="1094" t="s">
        <v>3518</v>
      </c>
      <c r="H501" s="1094" t="s">
        <v>3473</v>
      </c>
      <c r="I501" s="6">
        <v>1</v>
      </c>
    </row>
    <row r="502" spans="2:12" ht="35.450000000000003" hidden="1" customHeight="1" outlineLevel="1">
      <c r="B502" s="1094" t="s">
        <v>3474</v>
      </c>
      <c r="C502" s="847" t="str">
        <f>DocEBOM[[#This Row],[Category EN]]</f>
        <v>Tolerance</v>
      </c>
      <c r="D502" s="1095" t="s">
        <v>3639</v>
      </c>
      <c r="E502" s="847" t="str">
        <f>DocEBOM[[#This Row],[Category DE]]</f>
        <v>Toleranz</v>
      </c>
      <c r="F502" s="1081" t="s">
        <v>3614</v>
      </c>
      <c r="G502" s="1094" t="s">
        <v>3551</v>
      </c>
      <c r="H502" s="1094" t="s">
        <v>3474</v>
      </c>
      <c r="I502" s="6">
        <v>1</v>
      </c>
    </row>
    <row r="503" spans="2:12" ht="32.450000000000003" hidden="1" customHeight="1" outlineLevel="1">
      <c r="B503" s="1094" t="s">
        <v>3475</v>
      </c>
      <c r="C503" s="847" t="str">
        <f>DocEBOM[[#This Row],[Category EN]]</f>
        <v>Researched Price</v>
      </c>
      <c r="D503" s="1095" t="s">
        <v>3640</v>
      </c>
      <c r="E503" s="847" t="str">
        <f>DocEBOM[[#This Row],[Category DE]]</f>
        <v>Recherchierter Preis</v>
      </c>
      <c r="F503" s="1081" t="s">
        <v>3615</v>
      </c>
      <c r="G503" s="1094" t="s">
        <v>3519</v>
      </c>
      <c r="H503" s="1094" t="s">
        <v>3475</v>
      </c>
      <c r="I503" s="6">
        <v>1</v>
      </c>
    </row>
    <row r="504" spans="2:12" ht="31.15" hidden="1" customHeight="1" outlineLevel="1">
      <c r="B504" s="1094" t="s">
        <v>3476</v>
      </c>
      <c r="C504" s="847" t="str">
        <f>DocEBOM[[#This Row],[Category EN]]</f>
        <v>Search date</v>
      </c>
      <c r="D504" s="1095" t="s">
        <v>3641</v>
      </c>
      <c r="E504" s="847" t="str">
        <f>DocEBOM[[#This Row],[Category DE]]</f>
        <v>Recherche Datum</v>
      </c>
      <c r="F504" s="1081" t="s">
        <v>3622</v>
      </c>
      <c r="G504" s="1094" t="s">
        <v>3550</v>
      </c>
      <c r="H504" s="1094" t="s">
        <v>3476</v>
      </c>
      <c r="I504" s="6">
        <v>1</v>
      </c>
    </row>
    <row r="505" spans="2:12" ht="39.6" hidden="1" customHeight="1" outlineLevel="1">
      <c r="B505" s="1094" t="s">
        <v>3461</v>
      </c>
      <c r="C505" s="847" t="str">
        <f>DocEBOM[[#This Row],[Category EN]]</f>
        <v>Project factor</v>
      </c>
      <c r="D505" s="1095" t="s">
        <v>3642</v>
      </c>
      <c r="E505" s="847" t="str">
        <f>DocEBOM[[#This Row],[Category DE]]</f>
        <v>Projekt-Faktor</v>
      </c>
      <c r="F505" s="1081" t="s">
        <v>3616</v>
      </c>
      <c r="G505" s="1094" t="s">
        <v>3549</v>
      </c>
      <c r="H505" s="1094" t="s">
        <v>3461</v>
      </c>
      <c r="I505" s="6">
        <v>1</v>
      </c>
    </row>
    <row r="506" spans="2:12" hidden="1" outlineLevel="1">
      <c r="B506" s="1094" t="s">
        <v>439</v>
      </c>
      <c r="C506" s="847" t="str">
        <f>DocEBOM[[#This Row],[Category EN]]</f>
        <v>Factor</v>
      </c>
      <c r="D506" s="1095" t="s">
        <v>3643</v>
      </c>
      <c r="E506" s="847" t="str">
        <f>DocEBOM[[#This Row],[Category DE]]</f>
        <v>Faktor</v>
      </c>
      <c r="F506" s="1081" t="s">
        <v>3617</v>
      </c>
      <c r="G506" s="1094" t="s">
        <v>3360</v>
      </c>
      <c r="H506" s="1094" t="s">
        <v>439</v>
      </c>
      <c r="I506" s="6">
        <v>1</v>
      </c>
    </row>
    <row r="507" spans="2:12" ht="25.5" hidden="1" outlineLevel="1">
      <c r="B507" s="1094" t="s">
        <v>3477</v>
      </c>
      <c r="C507" s="847" t="str">
        <f>DocEBOM[[#This Row],[Category EN]]</f>
        <v>Factorized Single Price</v>
      </c>
      <c r="D507" s="1095" t="s">
        <v>3644</v>
      </c>
      <c r="E507" s="847" t="str">
        <f>DocEBOM[[#This Row],[Category DE]]</f>
        <v>faktorisierter Einzelpreis</v>
      </c>
      <c r="F507" s="1081" t="s">
        <v>3618</v>
      </c>
      <c r="G507" s="1094" t="s">
        <v>3520</v>
      </c>
      <c r="H507" s="1094" t="s">
        <v>3477</v>
      </c>
      <c r="I507" s="6">
        <v>1</v>
      </c>
    </row>
    <row r="508" spans="2:12" hidden="1" outlineLevel="1">
      <c r="B508" s="1094" t="s">
        <v>3478</v>
      </c>
      <c r="C508" s="847" t="str">
        <f>DocEBOM[[#This Row],[Category EN]]</f>
        <v>Price Top Side</v>
      </c>
      <c r="D508" s="1095" t="s">
        <v>3645</v>
      </c>
      <c r="E508" s="847" t="str">
        <f>DocEBOM[[#This Row],[Category DE]]</f>
        <v>Preis Oberseite</v>
      </c>
      <c r="F508" s="1081" t="s">
        <v>3619</v>
      </c>
      <c r="G508" s="1094" t="s">
        <v>3521</v>
      </c>
      <c r="H508" s="1094" t="s">
        <v>3478</v>
      </c>
      <c r="I508" s="6">
        <v>1</v>
      </c>
    </row>
    <row r="509" spans="2:12" hidden="1" outlineLevel="1">
      <c r="B509" s="1094" t="s">
        <v>3479</v>
      </c>
      <c r="C509" s="847" t="str">
        <f>DocEBOM[[#This Row],[Category EN]]</f>
        <v>Price Bottom Side</v>
      </c>
      <c r="D509" s="1095" t="s">
        <v>3646</v>
      </c>
      <c r="E509" s="847" t="str">
        <f>DocEBOM[[#This Row],[Category DE]]</f>
        <v>Preis Unterseite</v>
      </c>
      <c r="F509" s="1081" t="s">
        <v>3620</v>
      </c>
      <c r="G509" s="1094" t="s">
        <v>3522</v>
      </c>
      <c r="H509" s="1094" t="s">
        <v>3479</v>
      </c>
      <c r="I509" s="6">
        <v>1</v>
      </c>
    </row>
    <row r="510" spans="2:12" hidden="1" outlineLevel="1">
      <c r="B510" s="1094" t="s">
        <v>1784</v>
      </c>
      <c r="C510" s="847" t="str">
        <f>DocEBOM[[#This Row],[Category EN]]</f>
        <v>Total Price</v>
      </c>
      <c r="D510" s="1095" t="s">
        <v>3647</v>
      </c>
      <c r="E510" s="847" t="str">
        <f>DocEBOM[[#This Row],[Category DE]]</f>
        <v>Gesamtpreis</v>
      </c>
      <c r="F510" s="1081" t="s">
        <v>3621</v>
      </c>
      <c r="G510" s="1094" t="s">
        <v>3527</v>
      </c>
      <c r="H510" s="1094" t="s">
        <v>1784</v>
      </c>
      <c r="I510" s="6">
        <v>1</v>
      </c>
    </row>
    <row r="511" spans="2:12" ht="36" hidden="1" customHeight="1" outlineLevel="1">
      <c r="B511" s="1094" t="s">
        <v>3480</v>
      </c>
      <c r="C511" s="847" t="str">
        <f>DocEBOM[[#This Row],[Category EN]]</f>
        <v>Comment</v>
      </c>
      <c r="D511" s="1095" t="s">
        <v>3648</v>
      </c>
      <c r="E511" s="847" t="str">
        <f>DocEBOM[[#This Row],[Category DE]]</f>
        <v>Kommentar</v>
      </c>
      <c r="F511" s="1081" t="s">
        <v>3623</v>
      </c>
      <c r="G511" s="1094" t="s">
        <v>3523</v>
      </c>
      <c r="H511" s="1094" t="s">
        <v>3480</v>
      </c>
      <c r="I511" s="6">
        <v>1</v>
      </c>
      <c r="K511" s="6"/>
      <c r="L511" s="6"/>
    </row>
    <row r="512" spans="2:12" ht="51" hidden="1" outlineLevel="1">
      <c r="B512" s="1094" t="s">
        <v>3508</v>
      </c>
      <c r="C512" s="1094" t="str">
        <f t="shared" ref="C512:F536" si="6">C487</f>
        <v>Group</v>
      </c>
      <c r="D512" s="1095" t="str">
        <f t="shared" si="6"/>
        <v>The classification of the component in one of the groups Passive, Semiconductor, IC, Oscillator, Connector, Electromechanical, Optoelectronic, Sensor and Other.
Classification is fixed and no deviation from it is possible.</v>
      </c>
      <c r="E512" s="1094" t="str">
        <f t="shared" si="6"/>
        <v>Klassifizierung</v>
      </c>
      <c r="F512" s="1095" t="str">
        <f t="shared" si="6"/>
        <v>Die Klassifizierung des Bauteils in einer der Gruppen Passive, Halbleiter, IC, Oszillatoren, Steckverbinder, Elektromechanik, Optoelektronik, Sensor und Andere.
Klassifizeriung ist festgelegt und keine Abweichung von dieser möglich.</v>
      </c>
      <c r="G512" s="1094" t="s">
        <v>3508</v>
      </c>
      <c r="H512" s="1094" t="s">
        <v>3463</v>
      </c>
      <c r="I512" s="6">
        <v>1</v>
      </c>
      <c r="K512" s="6"/>
      <c r="L512" s="6"/>
    </row>
    <row r="513" spans="2:12" ht="63.75" hidden="1" outlineLevel="1">
      <c r="B513" s="1094" t="s">
        <v>3509</v>
      </c>
      <c r="C513" s="1094" t="str">
        <f t="shared" si="6"/>
        <v>Type</v>
      </c>
      <c r="D513" s="1095" t="str">
        <f t="shared" si="6"/>
        <v>Description of the component type. Here you can use a value from the selection or define a component type yourself. 
The possible selection is: capacitor / inductor / ferrite, capacitor, inductor / ferrite, resistor, diode / transistor, electrolytic capacitor, tantalum capacitor, inductor and oscillator.</v>
      </c>
      <c r="E513" s="1094" t="str">
        <f t="shared" si="6"/>
        <v>Typ</v>
      </c>
      <c r="F513" s="1095" t="str">
        <f t="shared" si="6"/>
        <v>Beschreibung des Bauteiltyps. Hier kann aus der Auswahl ein Wert verwendet werden oder selbst ein Bauteiltyp definiert werden. 
Die mögliche Auswahl ist lautet: Kondensator / Induktivität / Ferrit, Kondensator, Induktivität / Ferrit, Widerstand, Diode / Transistor, Elektrolykondensator, Tantalkondensator, Induktor und Oszillator.</v>
      </c>
      <c r="G513" s="1094" t="s">
        <v>3509</v>
      </c>
      <c r="H513" s="1094" t="s">
        <v>3464</v>
      </c>
      <c r="I513" s="6">
        <v>1</v>
      </c>
      <c r="K513" s="6"/>
      <c r="L513" s="6"/>
    </row>
    <row r="514" spans="2:12" ht="25.5" hidden="1" outlineLevel="1">
      <c r="B514" s="1094" t="s">
        <v>3510</v>
      </c>
      <c r="C514" s="1094" t="str">
        <f t="shared" si="6"/>
        <v>Marking on component</v>
      </c>
      <c r="D514" s="1095" t="str">
        <f t="shared" si="6"/>
        <v>The identifiable component label is entered here. This is to facilitate an assignment of the EBOM line to the corresponding component.</v>
      </c>
      <c r="E514" s="1094" t="str">
        <f t="shared" si="6"/>
        <v>Bauteilbeschriftung</v>
      </c>
      <c r="F514" s="1095" t="str">
        <f t="shared" si="6"/>
        <v>Die identifizierbare Bauteilbeschriftung wird hier eingetragen. Dies soll eine Zuordnung der EBOM Zeile zu der entsprechenden Komponente erleichtern.</v>
      </c>
      <c r="G514" s="1094" t="s">
        <v>3510</v>
      </c>
      <c r="H514" s="1094" t="s">
        <v>3465</v>
      </c>
      <c r="I514" s="6">
        <v>1</v>
      </c>
      <c r="K514" s="6"/>
      <c r="L514" s="6"/>
    </row>
    <row r="515" spans="2:12" ht="25.5" hidden="1" outlineLevel="1">
      <c r="B515" s="1094" t="s">
        <v>3511</v>
      </c>
      <c r="C515" s="1094" t="str">
        <f t="shared" si="6"/>
        <v>Quantity 
Top Side</v>
      </c>
      <c r="D515" s="1095" t="str">
        <f t="shared" si="6"/>
        <v>The number of components identified and counted on the top for a given component type.</v>
      </c>
      <c r="E515" s="1094" t="str">
        <f t="shared" si="6"/>
        <v>Anzahl 
Oberseite</v>
      </c>
      <c r="F515" s="1095" t="str">
        <f t="shared" si="6"/>
        <v>Die Anzahl an Komponenten, welche auf der Oberseite für ein bestimmten Bauteiltyp erkannt und gezählt wurde.</v>
      </c>
      <c r="G515" s="1094" t="s">
        <v>3511</v>
      </c>
      <c r="H515" s="1094" t="s">
        <v>3576</v>
      </c>
      <c r="I515" s="6">
        <v>1</v>
      </c>
      <c r="K515" s="6"/>
      <c r="L515" s="6"/>
    </row>
    <row r="516" spans="2:12" ht="25.5" hidden="1" outlineLevel="1">
      <c r="B516" s="1094" t="s">
        <v>3575</v>
      </c>
      <c r="C516" s="1094" t="str">
        <f t="shared" si="6"/>
        <v>Quantity 
Bottom Side</v>
      </c>
      <c r="D516" s="1095" t="str">
        <f t="shared" si="6"/>
        <v>The number of components that have been detected and counted on the bottom side for a specific component type.</v>
      </c>
      <c r="E516" s="1094" t="str">
        <f t="shared" si="6"/>
        <v>Anzahl 
Unterseite</v>
      </c>
      <c r="F516" s="1095" t="str">
        <f t="shared" si="6"/>
        <v>Die Anzahl an Komponenten, welche auf der Unterseite für ein bestimmten Bauteiltyp erkannt und gezählt wurde.</v>
      </c>
      <c r="G516" s="1094" t="s">
        <v>3575</v>
      </c>
      <c r="H516" s="1094" t="s">
        <v>3577</v>
      </c>
      <c r="I516" s="6">
        <v>1</v>
      </c>
      <c r="K516" s="6"/>
      <c r="L516" s="6"/>
    </row>
    <row r="517" spans="2:12" ht="25.5" hidden="1" outlineLevel="1">
      <c r="B517" s="1094" t="s">
        <v>3512</v>
      </c>
      <c r="C517" s="1094" t="str">
        <f t="shared" si="6"/>
        <v>Quantity 
Total</v>
      </c>
      <c r="D517" s="1095" t="str">
        <f t="shared" si="6"/>
        <v>Total number of components detected and counted on the top and bottom for a given part type.</v>
      </c>
      <c r="E517" s="1094" t="str">
        <f t="shared" si="6"/>
        <v>Anzahl 
gesamt</v>
      </c>
      <c r="F517" s="1095" t="str">
        <f t="shared" si="6"/>
        <v>Gesamte Anzahl an Komponenten, welche auf der Oberseite und Unterseite für ein bestimmten Bauteiltyp erkannt und gezählt wurde.</v>
      </c>
      <c r="G517" s="1094" t="s">
        <v>3512</v>
      </c>
      <c r="H517" s="1094" t="s">
        <v>3466</v>
      </c>
      <c r="I517" s="6">
        <v>1</v>
      </c>
      <c r="K517" s="6"/>
      <c r="L517" s="6"/>
    </row>
    <row r="518" spans="2:12" ht="51" hidden="1" outlineLevel="1">
      <c r="B518" s="1094" t="s">
        <v>3467</v>
      </c>
      <c r="C518" s="1094" t="str">
        <f t="shared" si="6"/>
        <v>SMD/THT</v>
      </c>
      <c r="D518" s="1095" t="str">
        <f t="shared" si="6"/>
        <v xml:space="preserve"> Categorization whether the component was mounted on the board by SMD or THT method.
SMD = Surface mount Device (Surface mount)
THT = Through hole Technology (through hole mounting).</v>
      </c>
      <c r="E518" s="1094" t="str">
        <f t="shared" si="6"/>
        <v>SMD/THT</v>
      </c>
      <c r="F518" s="1095" t="str">
        <f t="shared" si="6"/>
        <v>Kategorisierung, ob es sich um ein Bauteil handelt, welches per SMD- oder THT-Verfahren auf der Platine montiert wurde.
SMD = Surface mount Device (Oberflächenmontage)
THT = Through hole Technology (Durchlochmontage)</v>
      </c>
      <c r="G518" s="1094" t="s">
        <v>3467</v>
      </c>
      <c r="H518" s="1094" t="s">
        <v>3573</v>
      </c>
      <c r="I518" s="6">
        <v>1</v>
      </c>
      <c r="K518" s="6"/>
      <c r="L518" s="6"/>
    </row>
    <row r="519" spans="2:12" ht="51" hidden="1" outlineLevel="1">
      <c r="B519" s="1094" t="s">
        <v>69</v>
      </c>
      <c r="C519" s="1094" t="str">
        <f t="shared" si="6"/>
        <v>Description</v>
      </c>
      <c r="D519" s="1095" t="str">
        <f t="shared" si="6"/>
        <v>Description of the component. Information from the online search can be stored here that describes the component. 
For example, this can be the memory size or the computing power of an IC.</v>
      </c>
      <c r="E519" s="1094" t="str">
        <f t="shared" si="6"/>
        <v>Beschreibung</v>
      </c>
      <c r="F519" s="1095" t="str">
        <f t="shared" si="6"/>
        <v>Beschreibung des Bauteils. Hier können Informationen aus der Online-Recherche hinterlegt werden, die das Bauteil beschreiben. 
Beispielhaft können dies die Speichergröße oder die Rechenleistung eines ICs sein.</v>
      </c>
      <c r="G519" s="1094" t="s">
        <v>69</v>
      </c>
      <c r="H519" s="1094" t="s">
        <v>2</v>
      </c>
      <c r="I519" s="6">
        <v>1</v>
      </c>
      <c r="K519" s="6"/>
      <c r="L519" s="6"/>
    </row>
    <row r="520" spans="2:12" ht="51" hidden="1" outlineLevel="1">
      <c r="B520" s="1094" t="s">
        <v>3513</v>
      </c>
      <c r="C520" s="1094" t="str">
        <f t="shared" si="6"/>
        <v>Manufacturer</v>
      </c>
      <c r="D520" s="1095" t="str">
        <f t="shared" si="6"/>
        <v>IMPORTANT: Only fill in the line if exact information is available for the component! Do not write down a reference component here!
Manufacturer of the component part.</v>
      </c>
      <c r="E520" s="1094" t="str">
        <f t="shared" si="6"/>
        <v>Hersteller</v>
      </c>
      <c r="F520" s="1095" t="str">
        <f t="shared" si="6"/>
        <v>WICHTIG: Zeile nur befüllen, wenn exakte Information für das Bauteil vorliegt! Keine Referenzkomponente hier notieren!
Hersteller der Bauteilkomponente.</v>
      </c>
      <c r="G520" s="1094" t="s">
        <v>3513</v>
      </c>
      <c r="H520" s="1094" t="s">
        <v>3468</v>
      </c>
      <c r="I520" s="6">
        <v>1</v>
      </c>
      <c r="K520" s="6"/>
      <c r="L520" s="6"/>
    </row>
    <row r="521" spans="2:12" ht="51" hidden="1" outlineLevel="1">
      <c r="B521" s="1094" t="s">
        <v>3514</v>
      </c>
      <c r="C521" s="1094" t="str">
        <f t="shared" si="6"/>
        <v>Manufacturer 
Part Number</v>
      </c>
      <c r="D521" s="1095" t="str">
        <f t="shared" si="6"/>
        <v>IMPORTANT: Fill in line only if exact information for the component is available! Do not enter a reference component here!
Part number of the component.</v>
      </c>
      <c r="E521" s="1094" t="str">
        <f t="shared" si="6"/>
        <v>Hersteller Teilenummer</v>
      </c>
      <c r="F521" s="1095" t="str">
        <f t="shared" si="6"/>
        <v>WICHTIG: Zeile nur befüllen, wenn exakte Information für das Bauteil vorliegt! Keine Referenzkomponente hier notieren!
Teilnenummer der Bauteilkomponente.</v>
      </c>
      <c r="G521" s="1094" t="s">
        <v>3514</v>
      </c>
      <c r="H521" s="1094" t="s">
        <v>3578</v>
      </c>
      <c r="I521" s="6">
        <v>1</v>
      </c>
      <c r="K521" s="6"/>
      <c r="L521" s="6"/>
    </row>
    <row r="522" spans="2:12" ht="25.5" hidden="1" outlineLevel="1">
      <c r="B522" s="1094" t="s">
        <v>3515</v>
      </c>
      <c r="C522" s="1094" t="str">
        <f t="shared" si="6"/>
        <v>Reference 
Part Number</v>
      </c>
      <c r="D522" s="1095" t="str">
        <f t="shared" si="6"/>
        <v>If exact component could not be found in the search, but a reference could be selected based on available information, the part number of the reference is entered here.</v>
      </c>
      <c r="E522" s="1094" t="str">
        <f t="shared" si="6"/>
        <v>Referenz-Hersteller Teilenummer</v>
      </c>
      <c r="F522" s="1095" t="str">
        <f t="shared" si="6"/>
        <v>Falls exakte Komponente nicht in der Recherche gefunden werden konnte, aber auf Basis vorliegender Informationen eine Referenz ausgewählt werden konnte, wird die Teilenummer der Referenz hier eingetragen.</v>
      </c>
      <c r="G522" s="1094" t="s">
        <v>3515</v>
      </c>
      <c r="H522" s="1094" t="s">
        <v>3470</v>
      </c>
      <c r="I522" s="6">
        <v>1</v>
      </c>
      <c r="K522" s="6"/>
      <c r="L522" s="6"/>
    </row>
    <row r="523" spans="2:12" hidden="1" outlineLevel="1">
      <c r="B523" s="1094" t="s">
        <v>3516</v>
      </c>
      <c r="C523" s="1094" t="str">
        <f t="shared" si="6"/>
        <v>No of Pins/Pads</v>
      </c>
      <c r="D523" s="1095" t="str">
        <f t="shared" si="6"/>
        <v>Number of pins of the component or number of connection points between component and board.</v>
      </c>
      <c r="E523" s="1094" t="str">
        <f t="shared" si="6"/>
        <v>Anzahl der Pins</v>
      </c>
      <c r="F523" s="1095" t="str">
        <f t="shared" si="6"/>
        <v>Anzahl der Pins der Komponente oder Anzahl der Verbindungspunkte zwischen Komponente und Platine.</v>
      </c>
      <c r="G523" s="1094" t="s">
        <v>3516</v>
      </c>
      <c r="H523" s="1094" t="s">
        <v>3471</v>
      </c>
      <c r="I523" s="6">
        <v>1</v>
      </c>
      <c r="K523" s="6"/>
      <c r="L523" s="6"/>
    </row>
    <row r="524" spans="2:12" ht="51" hidden="1" outlineLevel="1">
      <c r="B524" s="1094" t="s">
        <v>3517</v>
      </c>
      <c r="C524" s="1094" t="str">
        <f t="shared" si="6"/>
        <v>Package / Dimension</v>
      </c>
      <c r="D524" s="1095" t="str">
        <f t="shared" si="6"/>
        <v xml:space="preserve"> Package type of the component. Possible selection sizes are stored for the standard components and can be selected.
Input of length/width of the component possible or the code for the package type.</v>
      </c>
      <c r="E524" s="1094" t="str">
        <f t="shared" si="6"/>
        <v>Gehäuse / Dimension</v>
      </c>
      <c r="F524" s="1095" t="str">
        <f t="shared" si="6"/>
        <v>Gehäusetyp der Komponente. Mögliche Auswahlgrößen sind für die Standardkomponenten hinterlegt und können ausgewählt werden.
Eingabe von Länge/Breite der Komponente möglich oder des Codes für den Gehäusetyp.</v>
      </c>
      <c r="G524" s="1094" t="s">
        <v>3579</v>
      </c>
      <c r="H524" s="1094" t="s">
        <v>3574</v>
      </c>
      <c r="I524" s="6">
        <v>1</v>
      </c>
      <c r="K524" s="6"/>
      <c r="L524" s="6"/>
    </row>
    <row r="525" spans="2:12" ht="63.75" hidden="1" outlineLevel="1">
      <c r="B525" s="1094" t="s">
        <v>915</v>
      </c>
      <c r="C525" s="1094" t="str">
        <f t="shared" si="6"/>
        <v>Source</v>
      </c>
      <c r="D525" s="1095" t="str">
        <f t="shared" si="6"/>
        <v>Price source is to be entered here. In case of internet research, the link is to be entered here. If the price comes from the AWS database, "Shortlist" or "Standard" is selected here.
Prices from the AWS database are stored for high quantities. Factorization is not provided for these components (factor takes value 1)</v>
      </c>
      <c r="E525" s="1094" t="str">
        <f t="shared" si="6"/>
        <v>Quelle</v>
      </c>
      <c r="F525" s="1095" t="str">
        <f t="shared" si="6"/>
        <v>Preisquelle ist hier einzutragen. Im Falle einer Internetrecherche ist hier der Link einzutragen. Stammt der Preis aus der AWS Datenbank wird hier "Shortlist" oder "Standard" ausgewählt.
Preise aus der AWS Datenbank sind für hohe Stückzahlen hinterlegt. Eine Faktorisierung ist für diese Komponenten nicht vorgesehen (Faktor nimmt Wert 1 an)</v>
      </c>
      <c r="G525" s="1094" t="s">
        <v>915</v>
      </c>
      <c r="H525" s="1094" t="s">
        <v>914</v>
      </c>
      <c r="I525" s="6">
        <v>1</v>
      </c>
      <c r="K525" s="6"/>
      <c r="L525" s="6"/>
    </row>
    <row r="526" spans="2:12" ht="63.75" hidden="1" outlineLevel="1">
      <c r="B526" s="1094" t="s">
        <v>3518</v>
      </c>
      <c r="C526" s="1094" t="str">
        <f t="shared" si="6"/>
        <v>Purchasing Volume</v>
      </c>
      <c r="D526" s="1095" t="str">
        <f t="shared" si="6"/>
        <v>IMPORTANT: Price factorization is based on 1,000 pcs. If possible, always research prices for an offered quantity of 1,000 pcs.
The purchase volume for which the component is offered in the Internet search. Basis for determining the price factor.</v>
      </c>
      <c r="E526" s="1094" t="str">
        <f t="shared" si="6"/>
        <v>Einkaufsvolumen</v>
      </c>
      <c r="F526" s="1095" t="str">
        <f t="shared" si="6"/>
        <v>WICHTIG: Preisfaktorisierung beruht auf 1.000 Stk. Wenn möglich, immer Preise für eine angebotene Stückzahl von 1.000 Stk recherchieren.
Das Einkaufsvolumen, für welches die Komponente in der Internetrecherche angeboten wird. Basis für die Ermittlung des Preisfaktors.</v>
      </c>
      <c r="G526" s="1094" t="s">
        <v>3518</v>
      </c>
      <c r="H526" s="1094" t="s">
        <v>3473</v>
      </c>
      <c r="I526" s="6">
        <v>1</v>
      </c>
      <c r="K526" s="6"/>
      <c r="L526" s="6"/>
    </row>
    <row r="527" spans="2:12" ht="25.5" hidden="1" outlineLevel="1">
      <c r="B527" s="1094" t="s">
        <v>3551</v>
      </c>
      <c r="C527" s="1094" t="str">
        <f t="shared" si="6"/>
        <v>Tolerance</v>
      </c>
      <c r="D527" s="1095" t="str">
        <f t="shared" si="6"/>
        <v>Basically, AWS database prices are based on an average tolerance distribution. This can be adjusted here for the standard components by entering the exact component tolerance value.</v>
      </c>
      <c r="E527" s="1094" t="str">
        <f t="shared" si="6"/>
        <v>Toleranz</v>
      </c>
      <c r="F527" s="1095" t="str">
        <f t="shared" si="6"/>
        <v>Grundsätzlich beruhen AWS Datenbankpreise auf eine Durchschnittliche Toleranzverteilung. Diese kann hier für die Standardkomponenten angepasst werden durch Eingabe des exakten Bauteiltoleranzwertes.</v>
      </c>
      <c r="G527" s="1094" t="s">
        <v>3551</v>
      </c>
      <c r="H527" s="1094" t="s">
        <v>3474</v>
      </c>
      <c r="I527" s="6">
        <v>1</v>
      </c>
      <c r="K527" s="6"/>
      <c r="L527" s="6"/>
    </row>
    <row r="528" spans="2:12" ht="25.5" hidden="1" outlineLevel="1">
      <c r="B528" s="1094" t="s">
        <v>3519</v>
      </c>
      <c r="C528" s="1094" t="str">
        <f t="shared" si="6"/>
        <v>Researched Price</v>
      </c>
      <c r="D528" s="1095" t="str">
        <f t="shared" si="6"/>
        <v>The price found in the internet search (If possible, always enter prices for an offered quantity of 1,000 pcs here).</v>
      </c>
      <c r="E528" s="1094" t="str">
        <f t="shared" si="6"/>
        <v>Recherchierter Preis</v>
      </c>
      <c r="F528" s="1095" t="str">
        <f t="shared" si="6"/>
        <v>Der Preis, welcher in der Internetrecherche gefunden wurde (Wenn möglich, immer Preise für eine angebotene Stückzahl von 1.000 Stk hier eintragen)</v>
      </c>
      <c r="G528" s="1094" t="s">
        <v>3519</v>
      </c>
      <c r="H528" s="1094" t="s">
        <v>3475</v>
      </c>
      <c r="I528" s="6">
        <v>1</v>
      </c>
      <c r="K528" s="6"/>
      <c r="L528" s="6"/>
    </row>
    <row r="529" spans="2:12" hidden="1" outlineLevel="1">
      <c r="B529" s="1094" t="s">
        <v>3550</v>
      </c>
      <c r="C529" s="1094" t="str">
        <f t="shared" si="6"/>
        <v>Search date</v>
      </c>
      <c r="D529" s="1095" t="str">
        <f t="shared" si="6"/>
        <v>The date when the price was researched.</v>
      </c>
      <c r="E529" s="1094" t="str">
        <f t="shared" si="6"/>
        <v>Recherche Datum</v>
      </c>
      <c r="F529" s="1095" t="str">
        <f t="shared" si="6"/>
        <v>Das Datum, an welchem der Preis recherchiert wurde.</v>
      </c>
      <c r="G529" s="1094" t="s">
        <v>3550</v>
      </c>
      <c r="H529" s="1094" t="s">
        <v>3476</v>
      </c>
      <c r="I529" s="6">
        <v>1</v>
      </c>
      <c r="K529" s="6"/>
      <c r="L529" s="6"/>
    </row>
    <row r="530" spans="2:12" ht="25.5" hidden="1" outlineLevel="1">
      <c r="B530" s="1094" t="s">
        <v>3549</v>
      </c>
      <c r="C530" s="1094" t="str">
        <f t="shared" si="6"/>
        <v>Project factor</v>
      </c>
      <c r="D530" s="1095" t="str">
        <f t="shared" si="6"/>
        <v>Project factor, which was determined via the AWS tool. Depends on the elements sourcing region, total volume, company size of the customer, industry, project attractiveness and market power.</v>
      </c>
      <c r="E530" s="1094" t="str">
        <f t="shared" si="6"/>
        <v>Projekt-Faktor</v>
      </c>
      <c r="F530" s="1095" t="str">
        <f t="shared" si="6"/>
        <v>Projekt-Faktor, welcher über das AWS Tool ermittelt wurde. Hängt von den Elementen Sourcing-Region, Gesamtvolumen, Firmengröße des Kunden, Branche, Projektattraktivität und Marktmacht ab.</v>
      </c>
      <c r="G530" s="1094" t="s">
        <v>3549</v>
      </c>
      <c r="H530" s="1094" t="s">
        <v>3461</v>
      </c>
      <c r="I530" s="6">
        <v>1</v>
      </c>
      <c r="K530" s="6"/>
      <c r="L530" s="6"/>
    </row>
    <row r="531" spans="2:12" hidden="1" outlineLevel="1">
      <c r="B531" s="1094" t="s">
        <v>3360</v>
      </c>
      <c r="C531" s="1094" t="str">
        <f t="shared" si="6"/>
        <v>Factor</v>
      </c>
      <c r="D531" s="1095" t="str">
        <f t="shared" si="6"/>
        <v>Degression Factor. Based on a unit count function normalized to 1,000 pcs.</v>
      </c>
      <c r="E531" s="1094" t="str">
        <f t="shared" si="6"/>
        <v>Faktor</v>
      </c>
      <c r="F531" s="1095" t="str">
        <f t="shared" si="6"/>
        <v>Degressionfaktor. Beruht auf einer Stückzahlfunktion, welche auf 1.000 Stk normiert ist.</v>
      </c>
      <c r="G531" s="1094" t="s">
        <v>3360</v>
      </c>
      <c r="H531" s="1094" t="s">
        <v>439</v>
      </c>
      <c r="I531" s="6">
        <v>1</v>
      </c>
      <c r="K531" s="6"/>
      <c r="L531" s="6"/>
    </row>
    <row r="532" spans="2:12" ht="25.5" hidden="1" outlineLevel="1">
      <c r="B532" s="1094" t="s">
        <v>3520</v>
      </c>
      <c r="C532" s="1094" t="str">
        <f t="shared" si="6"/>
        <v>Factorized Single Price</v>
      </c>
      <c r="D532" s="1095" t="str">
        <f t="shared" si="6"/>
        <v>Multiplication of project factor, (degression) factor and price.</v>
      </c>
      <c r="E532" s="1094" t="str">
        <f t="shared" si="6"/>
        <v>faktorisierter Einzelpreis</v>
      </c>
      <c r="F532" s="1095" t="str">
        <f t="shared" si="6"/>
        <v>Multiplikation aus Projekt-Faktor, (Degressions-)Faktor und Preis</v>
      </c>
      <c r="G532" s="1094" t="s">
        <v>3520</v>
      </c>
      <c r="H532" s="1094" t="s">
        <v>3477</v>
      </c>
      <c r="I532" s="6">
        <v>1</v>
      </c>
      <c r="K532" s="6"/>
      <c r="L532" s="6"/>
    </row>
    <row r="533" spans="2:12" hidden="1" outlineLevel="1">
      <c r="B533" s="1094" t="s">
        <v>3521</v>
      </c>
      <c r="C533" s="1094" t="str">
        <f t="shared" si="6"/>
        <v>Price Top Side</v>
      </c>
      <c r="D533" s="1095" t="str">
        <f t="shared" si="6"/>
        <v>Multiplication of number of topsides times the factorized price.</v>
      </c>
      <c r="E533" s="1094" t="str">
        <f t="shared" si="6"/>
        <v>Preis Oberseite</v>
      </c>
      <c r="F533" s="1095" t="str">
        <f t="shared" si="6"/>
        <v>Multiplikation aus Anzahl Oberseite mal den faktorisierten Preis</v>
      </c>
      <c r="G533" s="1094" t="s">
        <v>3521</v>
      </c>
      <c r="H533" s="1094" t="s">
        <v>3478</v>
      </c>
      <c r="I533" s="6">
        <v>1</v>
      </c>
      <c r="K533" s="6"/>
      <c r="L533" s="6"/>
    </row>
    <row r="534" spans="2:12" hidden="1" outlineLevel="1">
      <c r="B534" s="1094" t="s">
        <v>3522</v>
      </c>
      <c r="C534" s="1094" t="str">
        <f t="shared" si="6"/>
        <v>Price Bottom Side</v>
      </c>
      <c r="D534" s="1095" t="str">
        <f t="shared" si="6"/>
        <v>Multiplication of number of bottom side times the factorized price</v>
      </c>
      <c r="E534" s="1094" t="str">
        <f t="shared" si="6"/>
        <v>Preis Unterseite</v>
      </c>
      <c r="F534" s="1095" t="str">
        <f t="shared" si="6"/>
        <v>Multiplikation aus Anzahl Unterseite mal den faktorisierten Preis</v>
      </c>
      <c r="G534" s="1094" t="s">
        <v>3522</v>
      </c>
      <c r="H534" s="1094" t="s">
        <v>3479</v>
      </c>
      <c r="I534" s="6">
        <v>1</v>
      </c>
      <c r="K534" s="6"/>
      <c r="L534" s="6"/>
    </row>
    <row r="535" spans="2:12" hidden="1" outlineLevel="1">
      <c r="B535" s="1094" t="s">
        <v>3527</v>
      </c>
      <c r="C535" s="1094" t="str">
        <f t="shared" si="6"/>
        <v>Total Price</v>
      </c>
      <c r="D535" s="1095" t="str">
        <f t="shared" si="6"/>
        <v>Sum of price top side and bottom side.</v>
      </c>
      <c r="E535" s="1094" t="str">
        <f t="shared" si="6"/>
        <v>Gesamtpreis</v>
      </c>
      <c r="F535" s="1095" t="str">
        <f t="shared" si="6"/>
        <v>Summe aus Preis Oberseite und Unterseite.</v>
      </c>
      <c r="G535" s="1094" t="s">
        <v>3527</v>
      </c>
      <c r="H535" s="1094" t="s">
        <v>1784</v>
      </c>
      <c r="I535" s="6">
        <v>1</v>
      </c>
      <c r="K535" s="6"/>
      <c r="L535" s="6"/>
    </row>
    <row r="536" spans="2:12" ht="25.5" hidden="1" outlineLevel="1">
      <c r="B536" s="1094" t="s">
        <v>3523</v>
      </c>
      <c r="C536" s="1094" t="str">
        <f t="shared" si="6"/>
        <v>Comment</v>
      </c>
      <c r="D536" s="1095" t="str">
        <f t="shared" si="6"/>
        <v>Comment, which can be deposited. Here, for example, it should be explained why a reference component was selected.</v>
      </c>
      <c r="E536" s="1094" t="str">
        <f t="shared" si="6"/>
        <v>Kommentar</v>
      </c>
      <c r="F536" s="1095" t="str">
        <f t="shared" si="6"/>
        <v>Kommentar, welcher hinterlegt werden kann. Hier sollte zum Beispiel erklärt werden, warum eine Referenzkomponente ausgewählt wurde.</v>
      </c>
      <c r="G536" s="1094" t="s">
        <v>3523</v>
      </c>
      <c r="H536" s="1094" t="s">
        <v>3480</v>
      </c>
      <c r="I536" s="6">
        <v>1</v>
      </c>
      <c r="K536" s="6"/>
      <c r="L536" s="6"/>
    </row>
    <row r="537" spans="2:12" ht="25.5" hidden="1" outlineLevel="1">
      <c r="B537" s="1094" t="s">
        <v>3589</v>
      </c>
      <c r="C537" s="847" t="str">
        <f>DocEBOM[[#This Row],[Category EN]]</f>
        <v>Total Price</v>
      </c>
      <c r="D537" s="1095" t="s">
        <v>3659</v>
      </c>
      <c r="E537" s="847" t="str">
        <f>DocEBOM[[#This Row],[Category DE]]</f>
        <v>Gesamtpreis</v>
      </c>
      <c r="F537" s="1081" t="s">
        <v>3649</v>
      </c>
      <c r="G537" s="1094" t="s">
        <v>3527</v>
      </c>
      <c r="H537" s="1094" t="s">
        <v>1784</v>
      </c>
      <c r="I537" s="6">
        <v>1</v>
      </c>
      <c r="K537" s="6"/>
      <c r="L537" s="6"/>
    </row>
    <row r="538" spans="2:12" ht="25.5" hidden="1" outlineLevel="1">
      <c r="B538" s="1094" t="s">
        <v>3590</v>
      </c>
      <c r="C538" s="847" t="str">
        <f>DocEBOM[[#This Row],[Category EN]]</f>
        <v>Annual Volume</v>
      </c>
      <c r="D538" s="1095" t="s">
        <v>3660</v>
      </c>
      <c r="E538" s="847" t="str">
        <f>DocEBOM[[#This Row],[Category DE]]</f>
        <v>Jahresstückzahl</v>
      </c>
      <c r="F538" s="1081" t="s">
        <v>3650</v>
      </c>
      <c r="G538" s="1094" t="s">
        <v>3526</v>
      </c>
      <c r="H538" s="1094" t="s">
        <v>3177</v>
      </c>
      <c r="I538" s="6">
        <v>1</v>
      </c>
      <c r="K538" s="6"/>
      <c r="L538" s="6"/>
    </row>
    <row r="539" spans="2:12" hidden="1" outlineLevel="1">
      <c r="B539" s="1094" t="s">
        <v>3591</v>
      </c>
      <c r="C539" s="847" t="s">
        <v>3315</v>
      </c>
      <c r="D539" s="1095" t="s">
        <v>3661</v>
      </c>
      <c r="E539" s="847" t="s">
        <v>3178</v>
      </c>
      <c r="F539" s="1081" t="s">
        <v>3651</v>
      </c>
      <c r="G539" s="1094" t="s">
        <v>3581</v>
      </c>
      <c r="H539" s="1094" t="s">
        <v>3568</v>
      </c>
      <c r="I539" s="6">
        <v>1</v>
      </c>
      <c r="K539" s="6"/>
      <c r="L539" s="6"/>
    </row>
    <row r="540" spans="2:12" hidden="1" outlineLevel="1">
      <c r="B540" s="1094" t="s">
        <v>3592</v>
      </c>
      <c r="C540" s="847" t="s">
        <v>3316</v>
      </c>
      <c r="D540" s="1095" t="s">
        <v>3662</v>
      </c>
      <c r="E540" s="847" t="s">
        <v>3180</v>
      </c>
      <c r="F540" s="1081" t="s">
        <v>3652</v>
      </c>
      <c r="G540" s="1094" t="s">
        <v>3582</v>
      </c>
      <c r="H540" s="1094" t="s">
        <v>3569</v>
      </c>
      <c r="I540" s="6">
        <v>1</v>
      </c>
      <c r="K540" s="6"/>
      <c r="L540" s="6"/>
    </row>
    <row r="541" spans="2:12" ht="25.5" hidden="1" outlineLevel="1">
      <c r="B541" s="1094" t="s">
        <v>3593</v>
      </c>
      <c r="C541" s="847" t="s">
        <v>3528</v>
      </c>
      <c r="D541" s="1095" t="s">
        <v>3663</v>
      </c>
      <c r="E541" s="847" t="s">
        <v>3457</v>
      </c>
      <c r="F541" s="1081" t="s">
        <v>3653</v>
      </c>
      <c r="G541" s="1094" t="s">
        <v>3583</v>
      </c>
      <c r="H541" s="1094" t="s">
        <v>3457</v>
      </c>
      <c r="I541" s="6">
        <v>1</v>
      </c>
      <c r="K541" s="6"/>
      <c r="L541" s="6"/>
    </row>
    <row r="542" spans="2:12" ht="25.5" hidden="1" outlineLevel="1">
      <c r="B542" s="1094" t="s">
        <v>3594</v>
      </c>
      <c r="C542" s="847" t="s">
        <v>3529</v>
      </c>
      <c r="D542" s="1095" t="s">
        <v>3664</v>
      </c>
      <c r="E542" s="847" t="s">
        <v>3458</v>
      </c>
      <c r="F542" s="1081" t="s">
        <v>3654</v>
      </c>
      <c r="G542" s="1094" t="s">
        <v>3584</v>
      </c>
      <c r="H542" s="1094" t="s">
        <v>3570</v>
      </c>
      <c r="I542" s="6">
        <v>1</v>
      </c>
      <c r="K542" s="6"/>
      <c r="L542" s="6"/>
    </row>
    <row r="543" spans="2:12" ht="25.5" hidden="1" outlineLevel="1">
      <c r="B543" s="1094" t="s">
        <v>3595</v>
      </c>
      <c r="C543" s="847" t="s">
        <v>3587</v>
      </c>
      <c r="D543" s="1095" t="s">
        <v>3665</v>
      </c>
      <c r="E543" s="847" t="s">
        <v>3459</v>
      </c>
      <c r="F543" s="1081" t="s">
        <v>3655</v>
      </c>
      <c r="G543" s="1094" t="s">
        <v>3585</v>
      </c>
      <c r="H543" s="1094" t="s">
        <v>3571</v>
      </c>
      <c r="I543" s="6">
        <v>1</v>
      </c>
      <c r="K543" s="6"/>
      <c r="L543" s="6"/>
    </row>
    <row r="544" spans="2:12" ht="79.900000000000006" hidden="1" customHeight="1" outlineLevel="1">
      <c r="B544" s="1094" t="s">
        <v>3596</v>
      </c>
      <c r="C544" s="847" t="s">
        <v>3588</v>
      </c>
      <c r="D544" s="1095" t="s">
        <v>3666</v>
      </c>
      <c r="E544" s="847" t="s">
        <v>3460</v>
      </c>
      <c r="F544" s="1081" t="s">
        <v>3656</v>
      </c>
      <c r="G544" s="1094" t="s">
        <v>3586</v>
      </c>
      <c r="H544" s="1094" t="s">
        <v>3572</v>
      </c>
      <c r="I544" s="6">
        <v>1</v>
      </c>
      <c r="K544" s="6"/>
      <c r="L544" s="6"/>
    </row>
    <row r="545" spans="2:12" ht="37.15" hidden="1" customHeight="1" outlineLevel="1">
      <c r="B545" s="1094" t="s">
        <v>3597</v>
      </c>
      <c r="C545" s="847" t="str">
        <f>DocEBOM[[#This Row],[Category EN]]</f>
        <v>Project factor</v>
      </c>
      <c r="D545" s="1095" t="s">
        <v>3667</v>
      </c>
      <c r="E545" s="847" t="str">
        <f>DocEBOM[[#This Row],[Category DE]]</f>
        <v>Projekt-Faktor</v>
      </c>
      <c r="F545" s="1081" t="s">
        <v>3657</v>
      </c>
      <c r="G545" s="1094" t="s">
        <v>3549</v>
      </c>
      <c r="H545" s="1094" t="s">
        <v>3461</v>
      </c>
      <c r="I545" s="6">
        <v>1</v>
      </c>
      <c r="K545" s="6"/>
      <c r="L545" s="6"/>
    </row>
    <row r="546" spans="2:12" ht="36" hidden="1" customHeight="1" outlineLevel="1">
      <c r="B546" s="1094" t="s">
        <v>3598</v>
      </c>
      <c r="C546" s="847" t="s">
        <v>3580</v>
      </c>
      <c r="D546" s="1095" t="s">
        <v>3668</v>
      </c>
      <c r="E546" s="847" t="s">
        <v>3462</v>
      </c>
      <c r="F546" s="1081" t="s">
        <v>3658</v>
      </c>
      <c r="G546" s="1094" t="s">
        <v>3544</v>
      </c>
      <c r="H546" s="1094" t="s">
        <v>3560</v>
      </c>
      <c r="I546" s="6">
        <v>1</v>
      </c>
      <c r="K546" s="6"/>
      <c r="L546" s="6"/>
    </row>
    <row r="554" spans="2:12">
      <c r="I554" s="19"/>
    </row>
    <row r="555" spans="2:12">
      <c r="I555" s="19"/>
    </row>
    <row r="556" spans="2:12">
      <c r="I556" s="19"/>
    </row>
  </sheetData>
  <phoneticPr fontId="36" type="noConversion"/>
  <conditionalFormatting sqref="L164:L183 A394:K395 A396:M397 A484:K489 A490:A546 J490:K546 I487:I546 B490:I547 E463:E482 A90:A108 A109:K391 E90:E108 C90:C108 A2:K89">
    <cfRule type="expression" dxfId="608" priority="44">
      <formula>_xlfn.ISFORMULA(A2)</formula>
    </cfRule>
  </conditionalFormatting>
  <conditionalFormatting sqref="I113:I130">
    <cfRule type="expression" dxfId="607" priority="42">
      <formula>_xlfn.ISFORMULA(I113)</formula>
    </cfRule>
  </conditionalFormatting>
  <conditionalFormatting sqref="K189:K237">
    <cfRule type="expression" dxfId="606" priority="38">
      <formula>_xlfn.ISFORMULA(K189)</formula>
    </cfRule>
  </conditionalFormatting>
  <conditionalFormatting sqref="K242:K269">
    <cfRule type="expression" dxfId="605" priority="36">
      <formula>_xlfn.ISFORMULA(K242)</formula>
    </cfRule>
  </conditionalFormatting>
  <conditionalFormatting sqref="I274:I298">
    <cfRule type="expression" dxfId="604" priority="34">
      <formula>_xlfn.ISFORMULA(I274)</formula>
    </cfRule>
  </conditionalFormatting>
  <conditionalFormatting sqref="K374 I373">
    <cfRule type="expression" dxfId="603" priority="18">
      <formula>_xlfn.ISFORMULA(I373)</formula>
    </cfRule>
  </conditionalFormatting>
  <conditionalFormatting sqref="A455:K459">
    <cfRule type="expression" dxfId="602" priority="11">
      <formula>_xlfn.ISFORMULA(A455)</formula>
    </cfRule>
  </conditionalFormatting>
  <conditionalFormatting sqref="A460:K462 A463:B466 A482:K483 J463:K481 A467:H481">
    <cfRule type="expression" dxfId="601" priority="9">
      <formula>_xlfn.ISFORMULA(A460)</formula>
    </cfRule>
  </conditionalFormatting>
  <conditionalFormatting sqref="C463:C466">
    <cfRule type="expression" dxfId="600" priority="6">
      <formula>_xlfn.ISFORMULA(C463)</formula>
    </cfRule>
  </conditionalFormatting>
  <conditionalFormatting sqref="D463:D466 F463:I466">
    <cfRule type="expression" dxfId="599" priority="5">
      <formula>_xlfn.ISFORMULA(D463)</formula>
    </cfRule>
  </conditionalFormatting>
  <conditionalFormatting sqref="I467:I481">
    <cfRule type="expression" dxfId="598" priority="3">
      <formula>_xlfn.ISFORMULA(I467)</formula>
    </cfRule>
  </conditionalFormatting>
  <conditionalFormatting sqref="B90:B108 F90:K108 D90:D108">
    <cfRule type="expression" dxfId="597" priority="1">
      <formula>_xlfn.ISFORMULA(B90)</formula>
    </cfRule>
  </conditionalFormatting>
  <pageMargins left="0.7" right="0.7" top="0.78740157499999996" bottom="0.78740157499999996" header="0.3" footer="0.3"/>
  <tableParts count="1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s>
  <extLst>
    <ext xmlns:x14="http://schemas.microsoft.com/office/spreadsheetml/2009/9/main" uri="{78C0D931-6437-407d-A8EE-F0AAD7539E65}">
      <x14:conditionalFormattings>
        <x14:conditionalFormatting xmlns:xm="http://schemas.microsoft.com/office/excel/2006/main">
          <x14:cfRule type="iconSet" priority="43" id="{BC9BDE12-26E7-441B-9AC0-C902B1310D0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I113:I130</xm:sqref>
        </x14:conditionalFormatting>
        <x14:conditionalFormatting xmlns:xm="http://schemas.microsoft.com/office/excel/2006/main">
          <x14:cfRule type="iconSet" priority="39" id="{57406F78-9428-4C83-8ED2-AD311112C5C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K189:K237</xm:sqref>
        </x14:conditionalFormatting>
        <x14:conditionalFormatting xmlns:xm="http://schemas.microsoft.com/office/excel/2006/main">
          <x14:cfRule type="iconSet" priority="37" id="{183BFEC6-90F3-4698-A03D-D39ED1ACE49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K242:K269</xm:sqref>
        </x14:conditionalFormatting>
        <x14:conditionalFormatting xmlns:xm="http://schemas.microsoft.com/office/excel/2006/main">
          <x14:cfRule type="iconSet" priority="1410" id="{E3C56D37-EF76-4E98-8A12-1FC5B066789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G383:G391</xm:sqref>
        </x14:conditionalFormatting>
        <x14:conditionalFormatting xmlns:xm="http://schemas.microsoft.com/office/excel/2006/main">
          <x14:cfRule type="iconSet" priority="1411" id="{23AC16BD-632D-489F-81BF-A0717C198E8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I274:I298</xm:sqref>
        </x14:conditionalFormatting>
        <x14:conditionalFormatting xmlns:xm="http://schemas.microsoft.com/office/excel/2006/main">
          <x14:cfRule type="iconSet" priority="1436" id="{70E89180-6752-4259-8A2D-44CDB975B929}">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I302:I319</xm:sqref>
        </x14:conditionalFormatting>
        <x14:conditionalFormatting xmlns:xm="http://schemas.microsoft.com/office/excel/2006/main">
          <x14:cfRule type="iconSet" priority="1480" id="{14EFEF61-C3DF-4221-9424-8D9F006DFEE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K323:K369</xm:sqref>
        </x14:conditionalFormatting>
        <x14:conditionalFormatting xmlns:xm="http://schemas.microsoft.com/office/excel/2006/main">
          <x14:cfRule type="iconSet" priority="1483" id="{9461A5DA-CBB5-4A29-B803-FB4D40D009A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I378 K379</xm:sqref>
        </x14:conditionalFormatting>
        <x14:conditionalFormatting xmlns:xm="http://schemas.microsoft.com/office/excel/2006/main">
          <x14:cfRule type="iconSet" priority="19" id="{E2E1C8F0-B364-4B38-9AB5-16F04066518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I373 K374</xm:sqref>
        </x14:conditionalFormatting>
        <x14:conditionalFormatting xmlns:xm="http://schemas.microsoft.com/office/excel/2006/main">
          <x14:cfRule type="iconSet" priority="1490" id="{BB533BFA-1CD6-4B49-B6AB-28E021883B3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L183:L184 L135:L163</xm:sqref>
        </x14:conditionalFormatting>
        <x14:conditionalFormatting xmlns:xm="http://schemas.microsoft.com/office/excel/2006/main">
          <x14:cfRule type="iconSet" priority="1669" id="{4D2BD3E2-94A3-4833-980F-D4C93B26DDC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L164:L182</xm:sqref>
        </x14:conditionalFormatting>
        <x14:conditionalFormatting xmlns:xm="http://schemas.microsoft.com/office/excel/2006/main">
          <x14:cfRule type="iconSet" priority="1695" id="{B2A5042E-D1B6-4C30-A3C5-ADE3882EAA98}">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K397:K452</xm:sqref>
        </x14:conditionalFormatting>
        <x14:conditionalFormatting xmlns:xm="http://schemas.microsoft.com/office/excel/2006/main">
          <x14:cfRule type="iconSet" priority="12" id="{621DFAE9-967C-40E2-8B5A-31DF34EC8BC4}">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I458 K459</xm:sqref>
        </x14:conditionalFormatting>
        <x14:conditionalFormatting xmlns:xm="http://schemas.microsoft.com/office/excel/2006/main">
          <x14:cfRule type="iconSet" priority="10" id="{C8D01F59-C92C-4A14-8ACD-12B4E6A3287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I482 K483</xm:sqref>
        </x14:conditionalFormatting>
        <x14:conditionalFormatting xmlns:xm="http://schemas.microsoft.com/office/excel/2006/main">
          <x14:cfRule type="iconSet" priority="1704" id="{55CE1C6F-65E9-4BA8-ADB5-6AF4327F4E4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K511:K546 I487:I546</xm:sqref>
        </x14:conditionalFormatting>
        <x14:conditionalFormatting xmlns:xm="http://schemas.microsoft.com/office/excel/2006/main">
          <x14:cfRule type="iconSet" priority="1709" id="{A7697A5C-C76E-4F38-882E-B41DB060FEE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I463:I481</xm:sqref>
        </x14:conditionalFormatting>
        <x14:conditionalFormatting xmlns:xm="http://schemas.microsoft.com/office/excel/2006/main">
          <x14:cfRule type="iconSet" priority="2" id="{CCDE92E2-5065-435F-9F00-9486E586CEDC}">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L90:L108</xm:sqref>
        </x14:conditionalFormatting>
        <x14:conditionalFormatting xmlns:xm="http://schemas.microsoft.com/office/excel/2006/main">
          <x14:cfRule type="iconSet" priority="7482" id="{03262110-808A-445B-8B61-CAE8E86950F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L6:L89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1F2B3-A9B5-41B8-9609-C9E6F514516F}">
  <sheetPr codeName="TabTranslation">
    <tabColor theme="9"/>
  </sheetPr>
  <dimension ref="B2:E417"/>
  <sheetViews>
    <sheetView showGridLines="0" zoomScaleNormal="100" workbookViewId="0">
      <pane ySplit="2" topLeftCell="A58" activePane="bottomLeft" state="frozen"/>
      <selection activeCell="B2" sqref="B2:AX2"/>
      <selection pane="bottomLeft" activeCell="B78" sqref="B78"/>
    </sheetView>
  </sheetViews>
  <sheetFormatPr baseColWidth="10" defaultColWidth="11.42578125" defaultRowHeight="12.75"/>
  <cols>
    <col min="1" max="1" width="2.7109375" style="5" customWidth="1"/>
    <col min="2" max="3" width="40.7109375" style="5" customWidth="1"/>
    <col min="4" max="4" width="2.7109375" style="5" customWidth="1"/>
    <col min="5" max="5" width="20.7109375" style="1" customWidth="1"/>
    <col min="6" max="6" width="2.7109375" style="5" customWidth="1"/>
    <col min="7" max="16384" width="11.42578125" style="5"/>
  </cols>
  <sheetData>
    <row r="2" spans="2:5">
      <c r="B2" s="4" t="s">
        <v>54</v>
      </c>
      <c r="C2" s="4" t="s">
        <v>50</v>
      </c>
      <c r="E2" s="453" t="s">
        <v>52</v>
      </c>
    </row>
    <row r="3" spans="2:5">
      <c r="B3" s="19" t="s">
        <v>76</v>
      </c>
      <c r="C3" s="19" t="s">
        <v>32</v>
      </c>
      <c r="E3" s="4" t="str">
        <f>IF(Language="DE","T","D")</f>
        <v>D</v>
      </c>
    </row>
    <row r="4" spans="2:5">
      <c r="B4" s="19" t="s">
        <v>69</v>
      </c>
      <c r="C4" s="19" t="s">
        <v>2</v>
      </c>
      <c r="E4" s="4" t="s">
        <v>51</v>
      </c>
    </row>
    <row r="5" spans="2:5">
      <c r="B5" s="19" t="s">
        <v>78</v>
      </c>
      <c r="C5" s="19" t="s">
        <v>35</v>
      </c>
      <c r="E5" s="4" t="s">
        <v>49</v>
      </c>
    </row>
    <row r="6" spans="2:5">
      <c r="B6" s="19" t="s">
        <v>902</v>
      </c>
      <c r="C6" s="19" t="s">
        <v>140</v>
      </c>
      <c r="E6" s="4" t="str">
        <f>IF(Language="DE","HJ","HY")</f>
        <v>HY</v>
      </c>
    </row>
    <row r="7" spans="2:5" ht="13.5" thickBot="1">
      <c r="B7" s="19" t="s">
        <v>901</v>
      </c>
      <c r="C7" s="19" t="s">
        <v>900</v>
      </c>
      <c r="E7" s="4" t="str">
        <f>IF(Language="DE","J","Y")</f>
        <v>Y</v>
      </c>
    </row>
    <row r="8" spans="2:5">
      <c r="B8" s="19" t="s">
        <v>171</v>
      </c>
      <c r="C8" s="19" t="s">
        <v>170</v>
      </c>
      <c r="E8" s="466" t="str">
        <f>IF(Language="DE","M","U")</f>
        <v>U</v>
      </c>
    </row>
    <row r="9" spans="2:5" ht="13.5" thickBot="1">
      <c r="B9" s="19" t="s">
        <v>669</v>
      </c>
      <c r="C9" s="19" t="s">
        <v>412</v>
      </c>
      <c r="E9" s="467" t="str">
        <f>IF(Language="DE","F","S")</f>
        <v>S</v>
      </c>
    </row>
    <row r="10" spans="2:5">
      <c r="B10" s="19" t="s">
        <v>2390</v>
      </c>
      <c r="C10" s="19" t="s">
        <v>2391</v>
      </c>
      <c r="E10" s="4" t="s">
        <v>40</v>
      </c>
    </row>
    <row r="11" spans="2:5" ht="13.5" thickBot="1">
      <c r="B11" s="19" t="s">
        <v>2392</v>
      </c>
      <c r="C11" s="19" t="s">
        <v>2393</v>
      </c>
      <c r="E11" s="4" t="str">
        <f>IF(Language="DE","K","P")</f>
        <v>P</v>
      </c>
    </row>
    <row r="12" spans="2:5">
      <c r="B12" s="19" t="s">
        <v>2394</v>
      </c>
      <c r="C12" s="19" t="s">
        <v>2395</v>
      </c>
      <c r="E12" s="466" t="str">
        <f>IF(Language="DE","Stk.","pcs.")</f>
        <v>pcs.</v>
      </c>
    </row>
    <row r="13" spans="2:5">
      <c r="B13" s="19" t="s">
        <v>2396</v>
      </c>
      <c r="C13" s="19" t="s">
        <v>2397</v>
      </c>
      <c r="E13" s="4" t="s">
        <v>1237</v>
      </c>
    </row>
    <row r="14" spans="2:5">
      <c r="B14" s="19" t="s">
        <v>2398</v>
      </c>
      <c r="C14" s="19" t="s">
        <v>2399</v>
      </c>
      <c r="E14" s="4" t="s">
        <v>1265</v>
      </c>
    </row>
    <row r="15" spans="2:5">
      <c r="B15" s="19" t="s">
        <v>2421</v>
      </c>
      <c r="C15" s="19" t="s">
        <v>2420</v>
      </c>
      <c r="E15" s="4" t="s">
        <v>1266</v>
      </c>
    </row>
    <row r="16" spans="2:5">
      <c r="B16" s="19" t="s">
        <v>2422</v>
      </c>
      <c r="C16" s="19" t="s">
        <v>2400</v>
      </c>
      <c r="E16" s="4" t="s">
        <v>913</v>
      </c>
    </row>
    <row r="17" spans="2:5" ht="13.5" thickBot="1">
      <c r="B17" s="19" t="s">
        <v>2401</v>
      </c>
      <c r="C17" s="19" t="s">
        <v>2402</v>
      </c>
      <c r="E17" s="4" t="s">
        <v>1267</v>
      </c>
    </row>
    <row r="18" spans="2:5">
      <c r="B18" s="19" t="s">
        <v>2423</v>
      </c>
      <c r="C18" s="19" t="s">
        <v>2403</v>
      </c>
      <c r="E18" s="466" t="str">
        <f>IF(Language="DE","Konventionell","Coventional")</f>
        <v>Coventional</v>
      </c>
    </row>
    <row r="19" spans="2:5" ht="13.5" thickBot="1">
      <c r="B19" s="19" t="s">
        <v>2404</v>
      </c>
      <c r="C19" s="19" t="s">
        <v>2405</v>
      </c>
      <c r="E19" s="468" t="str">
        <f>IF(Language="DE","Ökostrom","Green electricity")</f>
        <v>Green electricity</v>
      </c>
    </row>
    <row r="20" spans="2:5">
      <c r="B20" s="19" t="s">
        <v>2406</v>
      </c>
      <c r="C20" s="19" t="s">
        <v>2407</v>
      </c>
      <c r="E20" s="4" t="str">
        <f>IF(Language="DE","Luft","Air")</f>
        <v>Air</v>
      </c>
    </row>
    <row r="21" spans="2:5">
      <c r="B21" s="19" t="s">
        <v>2408</v>
      </c>
      <c r="C21" s="19" t="s">
        <v>2409</v>
      </c>
      <c r="E21" s="4" t="str">
        <f>IF(Language="DE","See","Sea")</f>
        <v>Sea</v>
      </c>
    </row>
    <row r="22" spans="2:5">
      <c r="B22" s="19" t="s">
        <v>2410</v>
      </c>
      <c r="C22" s="19" t="s">
        <v>2411</v>
      </c>
      <c r="E22" s="4" t="str">
        <f>IF(Language="DE","Schiene","Rail")</f>
        <v>Rail</v>
      </c>
    </row>
    <row r="23" spans="2:5">
      <c r="B23" s="19" t="s">
        <v>2412</v>
      </c>
      <c r="C23" s="19" t="s">
        <v>2413</v>
      </c>
      <c r="E23" s="4" t="str">
        <f>IF(Language="DE","Straße","Road")</f>
        <v>Road</v>
      </c>
    </row>
    <row r="24" spans="2:5">
      <c r="B24" s="19" t="s">
        <v>2414</v>
      </c>
      <c r="C24" s="19" t="s">
        <v>2415</v>
      </c>
      <c r="E24" s="4" t="s">
        <v>2467</v>
      </c>
    </row>
    <row r="25" spans="2:5">
      <c r="B25" s="19" t="s">
        <v>2416</v>
      </c>
      <c r="C25" s="19" t="s">
        <v>2417</v>
      </c>
      <c r="E25" s="4" t="str">
        <f>IF(Language="DE","Straße","Road")</f>
        <v>Road</v>
      </c>
    </row>
    <row r="26" spans="2:5">
      <c r="B26" s="19" t="s">
        <v>2418</v>
      </c>
      <c r="C26" s="19" t="s">
        <v>2419</v>
      </c>
      <c r="E26" s="4" t="s">
        <v>2468</v>
      </c>
    </row>
    <row r="27" spans="2:5">
      <c r="B27" s="19" t="s">
        <v>2389</v>
      </c>
      <c r="C27" s="19" t="s">
        <v>2388</v>
      </c>
      <c r="E27" s="4" t="s">
        <v>2510</v>
      </c>
    </row>
    <row r="28" spans="2:5">
      <c r="B28" s="19" t="s">
        <v>284</v>
      </c>
      <c r="C28" s="19" t="s">
        <v>2387</v>
      </c>
      <c r="E28" s="4" t="s">
        <v>2661</v>
      </c>
    </row>
    <row r="29" spans="2:5">
      <c r="B29" s="19" t="s">
        <v>151</v>
      </c>
      <c r="C29" s="19" t="s">
        <v>123</v>
      </c>
      <c r="E29" s="4" t="s">
        <v>2662</v>
      </c>
    </row>
    <row r="30" spans="2:5">
      <c r="B30" s="19" t="s">
        <v>55</v>
      </c>
      <c r="C30" s="19" t="s">
        <v>150</v>
      </c>
      <c r="E30" s="4" t="s">
        <v>2539</v>
      </c>
    </row>
    <row r="31" spans="2:5">
      <c r="B31" s="19" t="s">
        <v>81</v>
      </c>
      <c r="C31" s="19" t="s">
        <v>80</v>
      </c>
      <c r="E31" s="4" t="s">
        <v>3221</v>
      </c>
    </row>
    <row r="32" spans="2:5">
      <c r="B32" s="19" t="s">
        <v>58</v>
      </c>
      <c r="C32" s="19" t="s">
        <v>39</v>
      </c>
      <c r="E32" s="4" t="s">
        <v>3222</v>
      </c>
    </row>
    <row r="33" spans="2:3">
      <c r="B33" s="469" t="str">
        <f>Currency &amp;"/Prt"</f>
        <v>EUR/Prt</v>
      </c>
      <c r="C33" s="469" t="str">
        <f>Currency &amp;"/Stk"</f>
        <v>EUR/Stk</v>
      </c>
    </row>
    <row r="34" spans="2:3">
      <c r="B34" s="19" t="s">
        <v>73</v>
      </c>
      <c r="C34" s="19" t="s">
        <v>4</v>
      </c>
    </row>
    <row r="35" spans="2:3">
      <c r="B35" s="19" t="s">
        <v>74</v>
      </c>
      <c r="C35" s="19" t="s">
        <v>8</v>
      </c>
    </row>
    <row r="36" spans="2:3">
      <c r="B36" s="19" t="s">
        <v>75</v>
      </c>
      <c r="C36" s="19" t="s">
        <v>62</v>
      </c>
    </row>
    <row r="37" spans="2:3">
      <c r="B37" s="19" t="s">
        <v>455</v>
      </c>
      <c r="C37" s="19" t="s">
        <v>437</v>
      </c>
    </row>
    <row r="38" spans="2:3">
      <c r="B38" s="19" t="s">
        <v>2079</v>
      </c>
      <c r="C38" s="19" t="s">
        <v>0</v>
      </c>
    </row>
    <row r="39" spans="2:3">
      <c r="B39" s="19" t="s">
        <v>156</v>
      </c>
      <c r="C39" s="19" t="s">
        <v>60</v>
      </c>
    </row>
    <row r="40" spans="2:3">
      <c r="B40" s="19" t="s">
        <v>172</v>
      </c>
      <c r="C40" s="19" t="s">
        <v>125</v>
      </c>
    </row>
    <row r="41" spans="2:3">
      <c r="B41" s="19" t="s">
        <v>139</v>
      </c>
      <c r="C41" s="19" t="s">
        <v>153</v>
      </c>
    </row>
    <row r="42" spans="2:3" ht="25.5">
      <c r="B42" s="19" t="s">
        <v>2374</v>
      </c>
      <c r="C42" s="19" t="s">
        <v>127</v>
      </c>
    </row>
    <row r="43" spans="2:3">
      <c r="B43" s="19" t="s">
        <v>157</v>
      </c>
      <c r="C43" s="19" t="s">
        <v>11</v>
      </c>
    </row>
    <row r="44" spans="2:3">
      <c r="B44" s="19" t="s">
        <v>72</v>
      </c>
      <c r="C44" s="19" t="s">
        <v>128</v>
      </c>
    </row>
    <row r="45" spans="2:3">
      <c r="B45" s="19" t="s">
        <v>158</v>
      </c>
      <c r="C45" s="19" t="s">
        <v>158</v>
      </c>
    </row>
    <row r="46" spans="2:3">
      <c r="B46" s="19" t="s">
        <v>159</v>
      </c>
      <c r="C46" s="19" t="s">
        <v>129</v>
      </c>
    </row>
    <row r="47" spans="2:3">
      <c r="B47" s="19" t="s">
        <v>1223</v>
      </c>
      <c r="C47" s="19" t="s">
        <v>63</v>
      </c>
    </row>
    <row r="48" spans="2:3">
      <c r="B48" s="19" t="s">
        <v>71</v>
      </c>
      <c r="C48" s="19" t="s">
        <v>59</v>
      </c>
    </row>
    <row r="49" spans="2:3">
      <c r="B49" s="19" t="s">
        <v>163</v>
      </c>
      <c r="C49" s="19" t="s">
        <v>154</v>
      </c>
    </row>
    <row r="50" spans="2:3">
      <c r="B50" s="19" t="s">
        <v>160</v>
      </c>
      <c r="C50" s="19" t="s">
        <v>120</v>
      </c>
    </row>
    <row r="51" spans="2:3">
      <c r="B51" s="19" t="s">
        <v>164</v>
      </c>
      <c r="C51" s="19" t="s">
        <v>162</v>
      </c>
    </row>
    <row r="52" spans="2:3">
      <c r="B52" s="19" t="s">
        <v>165</v>
      </c>
      <c r="C52" s="19" t="s">
        <v>161</v>
      </c>
    </row>
    <row r="53" spans="2:3">
      <c r="B53" s="19" t="s">
        <v>166</v>
      </c>
      <c r="C53" s="19" t="s">
        <v>85</v>
      </c>
    </row>
    <row r="54" spans="2:3">
      <c r="B54" s="255" t="s">
        <v>1378</v>
      </c>
      <c r="C54" s="19" t="s">
        <v>27</v>
      </c>
    </row>
    <row r="55" spans="2:3">
      <c r="B55" s="19" t="s">
        <v>155</v>
      </c>
      <c r="C55" s="19" t="s">
        <v>10</v>
      </c>
    </row>
    <row r="56" spans="2:3" ht="11.25" customHeight="1">
      <c r="B56" s="19" t="s">
        <v>168</v>
      </c>
      <c r="C56" s="19" t="s">
        <v>26</v>
      </c>
    </row>
    <row r="57" spans="2:3">
      <c r="B57" s="19" t="s">
        <v>283</v>
      </c>
      <c r="C57" s="19" t="s">
        <v>1</v>
      </c>
    </row>
    <row r="58" spans="2:3">
      <c r="B58" s="19" t="s">
        <v>152</v>
      </c>
      <c r="C58" s="19" t="s">
        <v>9</v>
      </c>
    </row>
    <row r="59" spans="2:3">
      <c r="B59" s="19" t="s">
        <v>169</v>
      </c>
      <c r="C59" s="19" t="s">
        <v>12</v>
      </c>
    </row>
    <row r="60" spans="2:3">
      <c r="B60" s="19" t="s">
        <v>174</v>
      </c>
      <c r="C60" s="19" t="s">
        <v>29</v>
      </c>
    </row>
    <row r="61" spans="2:3">
      <c r="B61" s="19" t="s">
        <v>175</v>
      </c>
      <c r="C61" s="19" t="s">
        <v>28</v>
      </c>
    </row>
    <row r="62" spans="2:3">
      <c r="B62" s="19" t="s">
        <v>177</v>
      </c>
      <c r="C62" s="19" t="s">
        <v>31</v>
      </c>
    </row>
    <row r="63" spans="2:3">
      <c r="B63" s="19" t="s">
        <v>176</v>
      </c>
      <c r="C63" s="19" t="s">
        <v>30</v>
      </c>
    </row>
    <row r="64" spans="2:3">
      <c r="B64" s="19" t="s">
        <v>2067</v>
      </c>
      <c r="C64" s="19" t="s">
        <v>2058</v>
      </c>
    </row>
    <row r="65" spans="2:3">
      <c r="B65" s="19" t="s">
        <v>2068</v>
      </c>
      <c r="C65" s="19" t="s">
        <v>152</v>
      </c>
    </row>
    <row r="66" spans="2:3">
      <c r="B66" s="19" t="s">
        <v>667</v>
      </c>
      <c r="C66" s="19" t="s">
        <v>666</v>
      </c>
    </row>
    <row r="67" spans="2:3">
      <c r="B67" s="19" t="s">
        <v>203</v>
      </c>
      <c r="C67" s="19" t="s">
        <v>206</v>
      </c>
    </row>
    <row r="68" spans="2:3">
      <c r="B68" s="19" t="s">
        <v>241</v>
      </c>
      <c r="C68" s="19" t="s">
        <v>532</v>
      </c>
    </row>
    <row r="69" spans="2:3">
      <c r="B69" s="19" t="s">
        <v>440</v>
      </c>
      <c r="C69" s="19" t="s">
        <v>533</v>
      </c>
    </row>
    <row r="70" spans="2:3">
      <c r="B70" s="19" t="s">
        <v>208</v>
      </c>
      <c r="C70" s="19" t="s">
        <v>86</v>
      </c>
    </row>
    <row r="71" spans="2:3">
      <c r="B71" s="19" t="s">
        <v>210</v>
      </c>
      <c r="C71" s="19" t="s">
        <v>13</v>
      </c>
    </row>
    <row r="72" spans="2:3">
      <c r="B72" s="19" t="s">
        <v>207</v>
      </c>
      <c r="C72" s="19" t="s">
        <v>709</v>
      </c>
    </row>
    <row r="73" spans="2:3">
      <c r="B73" s="19" t="s">
        <v>534</v>
      </c>
      <c r="C73" s="19" t="s">
        <v>335</v>
      </c>
    </row>
    <row r="74" spans="2:3">
      <c r="B74" s="19" t="s">
        <v>2144</v>
      </c>
      <c r="C74" s="19" t="s">
        <v>535</v>
      </c>
    </row>
    <row r="75" spans="2:3">
      <c r="B75" s="19" t="s">
        <v>536</v>
      </c>
      <c r="C75" s="19" t="s">
        <v>22</v>
      </c>
    </row>
    <row r="76" spans="2:3">
      <c r="B76" s="19" t="s">
        <v>537</v>
      </c>
      <c r="C76" s="19" t="s">
        <v>19</v>
      </c>
    </row>
    <row r="77" spans="2:3">
      <c r="B77" s="19" t="s">
        <v>538</v>
      </c>
      <c r="C77" s="19" t="s">
        <v>48</v>
      </c>
    </row>
    <row r="78" spans="2:3">
      <c r="B78" s="19" t="s">
        <v>2081</v>
      </c>
      <c r="C78" s="19" t="s">
        <v>47</v>
      </c>
    </row>
    <row r="79" spans="2:3">
      <c r="B79" s="19" t="s">
        <v>2080</v>
      </c>
      <c r="C79" s="19" t="s">
        <v>46</v>
      </c>
    </row>
    <row r="80" spans="2:3">
      <c r="B80" s="19" t="s">
        <v>492</v>
      </c>
      <c r="C80" s="19" t="s">
        <v>33</v>
      </c>
    </row>
    <row r="81" spans="2:3">
      <c r="B81" s="19" t="s">
        <v>541</v>
      </c>
      <c r="C81" s="19" t="s">
        <v>15</v>
      </c>
    </row>
    <row r="82" spans="2:3">
      <c r="B82" s="19" t="s">
        <v>2483</v>
      </c>
      <c r="C82" s="19" t="s">
        <v>16</v>
      </c>
    </row>
    <row r="83" spans="2:3">
      <c r="B83" s="19" t="s">
        <v>2487</v>
      </c>
      <c r="C83" s="19" t="s">
        <v>6</v>
      </c>
    </row>
    <row r="84" spans="2:3">
      <c r="B84" s="19" t="s">
        <v>2485</v>
      </c>
      <c r="C84" s="19" t="s">
        <v>91</v>
      </c>
    </row>
    <row r="85" spans="2:3">
      <c r="B85" s="19" t="s">
        <v>2486</v>
      </c>
      <c r="C85" s="19" t="s">
        <v>92</v>
      </c>
    </row>
    <row r="86" spans="2:3">
      <c r="B86" s="19" t="s">
        <v>542</v>
      </c>
      <c r="C86" s="19" t="s">
        <v>17</v>
      </c>
    </row>
    <row r="87" spans="2:3">
      <c r="B87" s="19" t="s">
        <v>543</v>
      </c>
      <c r="C87" s="19" t="s">
        <v>21</v>
      </c>
    </row>
    <row r="88" spans="2:3">
      <c r="B88" s="19" t="s">
        <v>1130</v>
      </c>
      <c r="C88" s="19" t="s">
        <v>587</v>
      </c>
    </row>
    <row r="89" spans="2:3">
      <c r="B89" s="19" t="s">
        <v>544</v>
      </c>
      <c r="C89" s="19" t="s">
        <v>45</v>
      </c>
    </row>
    <row r="90" spans="2:3">
      <c r="B90" s="19" t="s">
        <v>498</v>
      </c>
      <c r="C90" s="19" t="s">
        <v>41</v>
      </c>
    </row>
    <row r="91" spans="2:3">
      <c r="B91" s="19" t="s">
        <v>545</v>
      </c>
      <c r="C91" s="19" t="s">
        <v>42</v>
      </c>
    </row>
    <row r="92" spans="2:3">
      <c r="B92" s="19" t="s">
        <v>209</v>
      </c>
      <c r="C92" s="19" t="s">
        <v>14</v>
      </c>
    </row>
    <row r="93" spans="2:3">
      <c r="B93" s="19" t="s">
        <v>503</v>
      </c>
      <c r="C93" s="19" t="s">
        <v>43</v>
      </c>
    </row>
    <row r="94" spans="2:3">
      <c r="B94" s="19" t="s">
        <v>506</v>
      </c>
      <c r="C94" s="19" t="s">
        <v>44</v>
      </c>
    </row>
    <row r="95" spans="2:3">
      <c r="B95" s="19" t="s">
        <v>481</v>
      </c>
      <c r="C95" s="19" t="s">
        <v>77</v>
      </c>
    </row>
    <row r="96" spans="2:3">
      <c r="B96" s="19" t="s">
        <v>2489</v>
      </c>
      <c r="C96" s="19" t="s">
        <v>64</v>
      </c>
    </row>
    <row r="97" spans="2:3">
      <c r="B97" s="19" t="s">
        <v>2488</v>
      </c>
      <c r="C97" s="19" t="s">
        <v>94</v>
      </c>
    </row>
    <row r="98" spans="2:3">
      <c r="B98" s="19" t="s">
        <v>668</v>
      </c>
      <c r="C98" s="19" t="s">
        <v>665</v>
      </c>
    </row>
    <row r="99" spans="2:3">
      <c r="B99" s="19" t="s">
        <v>1524</v>
      </c>
      <c r="C99" s="19" t="s">
        <v>1412</v>
      </c>
    </row>
    <row r="100" spans="2:3">
      <c r="B100" s="19" t="s">
        <v>1525</v>
      </c>
      <c r="C100" s="19" t="s">
        <v>1415</v>
      </c>
    </row>
    <row r="101" spans="2:3">
      <c r="B101" s="19" t="s">
        <v>3335</v>
      </c>
      <c r="C101" s="19" t="s">
        <v>3332</v>
      </c>
    </row>
    <row r="102" spans="2:3">
      <c r="B102" s="19" t="s">
        <v>2078</v>
      </c>
      <c r="C102" s="19" t="s">
        <v>2072</v>
      </c>
    </row>
    <row r="103" spans="2:3">
      <c r="B103" s="19" t="s">
        <v>2076</v>
      </c>
      <c r="C103" s="19" t="s">
        <v>2069</v>
      </c>
    </row>
    <row r="104" spans="2:3">
      <c r="B104" s="19" t="s">
        <v>2077</v>
      </c>
      <c r="C104" s="19" t="s">
        <v>2070</v>
      </c>
    </row>
    <row r="105" spans="2:3">
      <c r="B105" s="19" t="s">
        <v>2140</v>
      </c>
      <c r="C105" s="19" t="s">
        <v>2117</v>
      </c>
    </row>
    <row r="106" spans="2:3">
      <c r="B106" s="19" t="s">
        <v>2141</v>
      </c>
      <c r="C106" s="19" t="s">
        <v>1414</v>
      </c>
    </row>
    <row r="107" spans="2:3">
      <c r="B107" s="19" t="s">
        <v>2176</v>
      </c>
      <c r="C107" s="19" t="s">
        <v>2177</v>
      </c>
    </row>
    <row r="108" spans="2:3">
      <c r="B108" s="19" t="s">
        <v>2139</v>
      </c>
      <c r="C108" s="19" t="s">
        <v>2142</v>
      </c>
    </row>
    <row r="109" spans="2:3">
      <c r="B109" s="19" t="s">
        <v>2143</v>
      </c>
      <c r="C109" s="19" t="s">
        <v>2138</v>
      </c>
    </row>
    <row r="110" spans="2:3">
      <c r="B110" s="856" t="s">
        <v>2493</v>
      </c>
      <c r="C110" s="19" t="s">
        <v>2495</v>
      </c>
    </row>
    <row r="111" spans="2:3">
      <c r="B111" s="856" t="s">
        <v>2494</v>
      </c>
      <c r="C111" s="19" t="s">
        <v>2496</v>
      </c>
    </row>
    <row r="112" spans="2:3">
      <c r="B112" s="19" t="s">
        <v>546</v>
      </c>
      <c r="C112" s="19" t="s">
        <v>97</v>
      </c>
    </row>
    <row r="113" spans="2:3">
      <c r="B113" s="19" t="s">
        <v>547</v>
      </c>
      <c r="C113" s="19" t="s">
        <v>116</v>
      </c>
    </row>
    <row r="114" spans="2:3" ht="25.5">
      <c r="B114" s="19" t="s">
        <v>562</v>
      </c>
      <c r="C114" s="19" t="s">
        <v>1555</v>
      </c>
    </row>
    <row r="115" spans="2:3" ht="25.5">
      <c r="B115" s="19" t="s">
        <v>548</v>
      </c>
      <c r="C115" s="19" t="s">
        <v>109</v>
      </c>
    </row>
    <row r="116" spans="2:3">
      <c r="B116" s="19" t="s">
        <v>2073</v>
      </c>
      <c r="C116" s="19" t="s">
        <v>583</v>
      </c>
    </row>
    <row r="117" spans="2:3" ht="25.5">
      <c r="B117" s="19" t="s">
        <v>591</v>
      </c>
      <c r="C117" s="19" t="s">
        <v>585</v>
      </c>
    </row>
    <row r="118" spans="2:3">
      <c r="B118" s="19" t="s">
        <v>2074</v>
      </c>
      <c r="C118" s="19" t="s">
        <v>586</v>
      </c>
    </row>
    <row r="119" spans="2:3" ht="25.5">
      <c r="B119" s="19" t="s">
        <v>549</v>
      </c>
      <c r="C119" s="19" t="s">
        <v>110</v>
      </c>
    </row>
    <row r="120" spans="2:3" ht="25.5">
      <c r="B120" s="19" t="s">
        <v>1559</v>
      </c>
      <c r="C120" s="19" t="s">
        <v>101</v>
      </c>
    </row>
    <row r="121" spans="2:3" ht="25.5">
      <c r="B121" s="19" t="s">
        <v>550</v>
      </c>
      <c r="C121" s="19" t="s">
        <v>445</v>
      </c>
    </row>
    <row r="122" spans="2:3" ht="25.5">
      <c r="B122" s="19" t="s">
        <v>1380</v>
      </c>
      <c r="C122" s="19" t="s">
        <v>579</v>
      </c>
    </row>
    <row r="123" spans="2:3" ht="25.5">
      <c r="B123" s="19" t="s">
        <v>1381</v>
      </c>
      <c r="C123" s="19" t="s">
        <v>575</v>
      </c>
    </row>
    <row r="124" spans="2:3" ht="25.5">
      <c r="B124" s="19" t="s">
        <v>551</v>
      </c>
      <c r="C124" s="19" t="s">
        <v>111</v>
      </c>
    </row>
    <row r="125" spans="2:3" ht="25.5">
      <c r="B125" s="19" t="str">
        <f>"Auxiliary and test equip.
["&amp;InputCurrency&amp;"/Year]"</f>
        <v>Auxiliary and test equip.
[EUR/Year]</v>
      </c>
      <c r="C125" s="19" t="str">
        <f>"Hilfs- und Prüfgeräte
["&amp;InputCurrency&amp;"/Jahr]"</f>
        <v>Hilfs- und Prüfgeräte
[EUR/Jahr]</v>
      </c>
    </row>
    <row r="126" spans="2:3" ht="25.5">
      <c r="B126" s="19" t="s">
        <v>1679</v>
      </c>
      <c r="C126" s="19" t="s">
        <v>1678</v>
      </c>
    </row>
    <row r="127" spans="2:3" ht="25.5">
      <c r="B127" s="19" t="str">
        <f>"General operating costs
["&amp;InputCurrency&amp;"/Year]"</f>
        <v>General operating costs
[EUR/Year]</v>
      </c>
      <c r="C127" s="19" t="str">
        <f>"Allg. Betriebskosten 
["&amp;InputCurrency&amp;"/Jahr]"</f>
        <v>Allg. Betriebskosten 
[EUR/Jahr]</v>
      </c>
    </row>
    <row r="128" spans="2:3" ht="25.5">
      <c r="B128" s="19" t="s">
        <v>2075</v>
      </c>
      <c r="C128" s="19" t="s">
        <v>1556</v>
      </c>
    </row>
    <row r="129" spans="2:3" ht="25.5">
      <c r="B129" s="19" t="s">
        <v>1558</v>
      </c>
      <c r="C129" s="19" t="s">
        <v>1557</v>
      </c>
    </row>
    <row r="130" spans="2:3">
      <c r="B130" s="19" t="s">
        <v>1580</v>
      </c>
      <c r="C130" s="19" t="s">
        <v>1148</v>
      </c>
    </row>
    <row r="131" spans="2:3" ht="25.5">
      <c r="B131" s="19" t="str">
        <f>"MHR 
["&amp;Currency&amp;"/h]"</f>
        <v>MHR 
[EUR/h]</v>
      </c>
      <c r="C131" s="19" t="str">
        <f>"MSS 
["&amp;Currency&amp;"/h]"</f>
        <v>MSS 
[EUR/h]</v>
      </c>
    </row>
    <row r="132" spans="2:3" ht="25.5">
      <c r="B132" s="19" t="str">
        <f>"IMHR IMC
["&amp;Currency&amp;"/h]"</f>
        <v>IMHR IMC
[EUR/h]</v>
      </c>
      <c r="C132" s="19" t="str">
        <f>"RSS RFGK 
["&amp;Currency&amp;"/h]"</f>
        <v>RSS RFGK 
[EUR/h]</v>
      </c>
    </row>
    <row r="133" spans="2:3">
      <c r="B133" s="19" t="s">
        <v>1219</v>
      </c>
      <c r="C133" s="19" t="s">
        <v>1042</v>
      </c>
    </row>
    <row r="134" spans="2:3">
      <c r="B134" s="19" t="s">
        <v>1220</v>
      </c>
      <c r="C134" s="19" t="s">
        <v>1043</v>
      </c>
    </row>
    <row r="135" spans="2:3">
      <c r="B135" s="19" t="s">
        <v>1221</v>
      </c>
      <c r="C135" s="19" t="s">
        <v>1058</v>
      </c>
    </row>
    <row r="136" spans="2:3">
      <c r="B136" s="19" t="s">
        <v>563</v>
      </c>
      <c r="C136" s="19" t="s">
        <v>135</v>
      </c>
    </row>
    <row r="137" spans="2:3">
      <c r="B137" s="19" t="s">
        <v>1222</v>
      </c>
      <c r="C137" s="19" t="s">
        <v>917</v>
      </c>
    </row>
    <row r="138" spans="2:3" ht="25.5">
      <c r="B138" s="19" t="str">
        <f>"Price 
["&amp;InputCurrency&amp;"/Unit] "</f>
        <v xml:space="preserve">Price 
[EUR/Unit] </v>
      </c>
      <c r="C138" s="19" t="str">
        <f>"Preis 
["&amp;InputCurrency&amp;"/Einheit] "</f>
        <v xml:space="preserve">Preis 
[EUR/Einheit] </v>
      </c>
    </row>
    <row r="139" spans="2:3" ht="25.5">
      <c r="B139" s="19" t="str">
        <f>"Price
["&amp;Currency&amp;"/Unit]"</f>
        <v>Price
[EUR/Unit]</v>
      </c>
      <c r="C139" s="19" t="str">
        <f>"Preis
["&amp;Currency&amp;"/Einheit]"</f>
        <v>Preis
[EUR/Einheit]</v>
      </c>
    </row>
    <row r="140" spans="2:3" ht="25.5">
      <c r="B140" s="19" t="str">
        <f>"Annual costs
[" &amp; Currency &amp; "/Year]"</f>
        <v>Annual costs
[EUR/Year]</v>
      </c>
      <c r="C140" s="19" t="str">
        <f>"Jährliche Kosten
[" &amp; Currency &amp; "/Jahr]"</f>
        <v>Jährliche Kosten
[EUR/Jahr]</v>
      </c>
    </row>
    <row r="141" spans="2:3" ht="25.5">
      <c r="B141" s="19" t="str">
        <f>"Purchasing
[" &amp; Currency &amp; "/Year]"</f>
        <v>Purchasing
[EUR/Year]</v>
      </c>
      <c r="C141" s="19" t="str">
        <f>"Einkauf
[" &amp; Currency &amp; "/Jahr]"</f>
        <v>Einkauf
[EUR/Jahr]</v>
      </c>
    </row>
    <row r="142" spans="2:3" ht="25.5">
      <c r="B142" s="19" t="str">
        <f>"Quality
[" &amp; Currency &amp; "/Year]"</f>
        <v>Quality
[EUR/Year]</v>
      </c>
      <c r="C142" s="19" t="str">
        <f>"Qualität
[" &amp; Currency &amp; "/Jahr]"</f>
        <v>Qualität
[EUR/Jahr]</v>
      </c>
    </row>
    <row r="143" spans="2:3" ht="25.5">
      <c r="B143" s="19" t="str">
        <f>"Stock movement
[" &amp; Currency &amp; "/Year]"</f>
        <v>Stock movement
[EUR/Year]</v>
      </c>
      <c r="C143" s="19" t="str">
        <f>"Lagerbewegung
[" &amp; Currency &amp; "/Jahr]"</f>
        <v>Lagerbewegung
[EUR/Jahr]</v>
      </c>
    </row>
    <row r="144" spans="2:3" ht="25.5">
      <c r="B144" s="19" t="str">
        <f>"Capital lockup
[" &amp; Currency &amp; "/Unit]"</f>
        <v>Capital lockup
[EUR/Unit]</v>
      </c>
      <c r="C144" s="19" t="str">
        <f>"Kapitalbindung
[" &amp; Currency &amp; "/Einheit]"</f>
        <v>Kapitalbindung
[EUR/Einheit]</v>
      </c>
    </row>
    <row r="145" spans="2:3" ht="25.5">
      <c r="B145" s="19" t="str">
        <f>"Insurance
[" &amp; Currency &amp; "/Unit]"</f>
        <v>Insurance
[EUR/Unit]</v>
      </c>
      <c r="C145" s="19" t="str">
        <f>"Versicherung
[" &amp; Currency &amp; "/Einheit]"</f>
        <v>Versicherung
[EUR/Einheit]</v>
      </c>
    </row>
    <row r="146" spans="2:3" ht="25.5">
      <c r="B146" s="19" t="str">
        <f>"Storage costs
[" &amp; Currency &amp; "/Unit]"</f>
        <v>Storage costs
[EUR/Unit]</v>
      </c>
      <c r="C146" s="19" t="str">
        <f>"Lagerplatzkosten
[" &amp; Currency &amp; "/Einheit]"</f>
        <v>Lagerplatzkosten
[EUR/Einheit]</v>
      </c>
    </row>
    <row r="147" spans="2:3" ht="25.5">
      <c r="B147" s="19" t="str">
        <f>"Costs per unit
[" &amp; Currency &amp; "/Unit]"</f>
        <v>Costs per unit
[EUR/Unit]</v>
      </c>
      <c r="C147" s="19" t="str">
        <f>"Kosten je Einheit
[" &amp; Currency &amp; "/Einheit]"</f>
        <v>Kosten je Einheit
[EUR/Einheit]</v>
      </c>
    </row>
    <row r="148" spans="2:3" ht="25.5">
      <c r="B148" s="19" t="str">
        <f>"Unskilled
1 shift [" &amp; InputCurrency &amp; "]"</f>
        <v>Unskilled
1 shift [EUR]</v>
      </c>
      <c r="C148" s="19" t="str">
        <f>"Maschinenb.
1-S [" &amp; InputCurrency &amp; "]"</f>
        <v>Maschinenb.
1-S [EUR]</v>
      </c>
    </row>
    <row r="149" spans="2:3" ht="25.5">
      <c r="B149" s="19" t="str">
        <f>"Skilled
1 shift [" &amp; InputCurrency &amp; "]"</f>
        <v>Skilled
1 shift [EUR]</v>
      </c>
      <c r="C149" s="19" t="str">
        <f>"Facharbeiter
1-S [" &amp; InputCurrency &amp; "]"</f>
        <v>Facharbeiter
1-S [EUR]</v>
      </c>
    </row>
    <row r="150" spans="2:3" ht="25.5">
      <c r="B150" s="19" t="str">
        <f>"Unskilled
2 shift [" &amp; InputCurrency &amp; "]"</f>
        <v>Unskilled
2 shift [EUR]</v>
      </c>
      <c r="C150" s="19" t="str">
        <f>"Maschinenb.
2-S [" &amp; InputCurrency &amp; "]"</f>
        <v>Maschinenb.
2-S [EUR]</v>
      </c>
    </row>
    <row r="151" spans="2:3" ht="25.5">
      <c r="B151" s="19" t="str">
        <f>"Skilled
2 shift [" &amp; InputCurrency &amp; "]"</f>
        <v>Skilled
2 shift [EUR]</v>
      </c>
      <c r="C151" s="19" t="str">
        <f>"Facharbeiter
2-S [" &amp; InputCurrency &amp; "]"</f>
        <v>Facharbeiter
2-S [EUR]</v>
      </c>
    </row>
    <row r="152" spans="2:3" ht="25.5">
      <c r="B152" s="19" t="str">
        <f>"Unskilled
3 shift [" &amp; InputCurrency &amp; "]"</f>
        <v>Unskilled
3 shift [EUR]</v>
      </c>
      <c r="C152" s="19" t="str">
        <f>"Maschinenb.
3-S [" &amp; InputCurrency &amp; "]"</f>
        <v>Maschinenb.
3-S [EUR]</v>
      </c>
    </row>
    <row r="153" spans="2:3" ht="25.5">
      <c r="B153" s="19" t="str">
        <f>"Skilled
3 shift [" &amp; InputCurrency &amp; "]"</f>
        <v>Skilled
3 shift [EUR]</v>
      </c>
      <c r="C153" s="19" t="str">
        <f>"Facharbeiter
3-S [" &amp; InputCurrency &amp; "]"</f>
        <v>Facharbeiter
3-S [EUR]</v>
      </c>
    </row>
    <row r="154" spans="2:3" ht="25.5">
      <c r="B154" s="19" t="s">
        <v>572</v>
      </c>
      <c r="C154" s="19" t="s">
        <v>3251</v>
      </c>
    </row>
    <row r="155" spans="2:3" ht="25.5">
      <c r="B155" s="19" t="s">
        <v>573</v>
      </c>
      <c r="C155" s="19" t="s">
        <v>3252</v>
      </c>
    </row>
    <row r="156" spans="2:3" ht="25.5">
      <c r="B156" s="19" t="str">
        <f>"High-skilled
[" &amp; InputCurrency &amp; "]"</f>
        <v>High-skilled
[EUR]</v>
      </c>
      <c r="C156" s="19" t="str">
        <f>"High-skilled
[" &amp; InputCurrency &amp; "]"</f>
        <v>High-skilled
[EUR]</v>
      </c>
    </row>
    <row r="157" spans="2:3">
      <c r="B157" s="19" t="s">
        <v>574</v>
      </c>
      <c r="C157" s="19" t="s">
        <v>2424</v>
      </c>
    </row>
    <row r="158" spans="2:3" ht="25.5">
      <c r="B158" s="19" t="str">
        <f>"Monthly rent 
[" &amp; InputCurrency &amp; "/m²]"</f>
        <v>Monthly rent 
[EUR/m²]</v>
      </c>
      <c r="C158" s="19" t="str">
        <f>"Monatsmiete 
[" &amp; InputCurrency &amp; "/m²]"</f>
        <v>Monatsmiete 
[EUR/m²]</v>
      </c>
    </row>
    <row r="159" spans="2:3" ht="25.5">
      <c r="B159" s="19" t="str">
        <f>"Electricity 
[" &amp; InputCurrency &amp; "/kWh]"</f>
        <v>Electricity 
[EUR/kWh]</v>
      </c>
      <c r="C159" s="19" t="str">
        <f>"Strom 
[" &amp; InputCurrency &amp; "/kWh]"</f>
        <v>Strom 
[EUR/kWh]</v>
      </c>
    </row>
    <row r="160" spans="2:3" ht="25.5">
      <c r="B160" s="19" t="str">
        <f>"Natural gas 
[" &amp; InputCurrency &amp; "/kWh]"</f>
        <v>Natural gas 
[EUR/kWh]</v>
      </c>
      <c r="C160" s="19" t="str">
        <f>"Erdgas
[" &amp; InputCurrency &amp; "/kWh]"</f>
        <v>Erdgas
[EUR/kWh]</v>
      </c>
    </row>
    <row r="161" spans="2:3" ht="25.5">
      <c r="B161" s="19" t="s">
        <v>552</v>
      </c>
      <c r="C161" s="19" t="s">
        <v>105</v>
      </c>
    </row>
    <row r="162" spans="2:3">
      <c r="B162" s="19" t="s">
        <v>553</v>
      </c>
      <c r="C162" s="19" t="s">
        <v>24</v>
      </c>
    </row>
    <row r="163" spans="2:3">
      <c r="B163" s="19" t="s">
        <v>554</v>
      </c>
      <c r="C163" s="19" t="s">
        <v>443</v>
      </c>
    </row>
    <row r="164" spans="2:3">
      <c r="B164" s="19" t="s">
        <v>555</v>
      </c>
      <c r="C164" s="19" t="s">
        <v>444</v>
      </c>
    </row>
    <row r="165" spans="2:3">
      <c r="B165" s="19" t="s">
        <v>1406</v>
      </c>
      <c r="C165" s="19" t="s">
        <v>1190</v>
      </c>
    </row>
    <row r="166" spans="2:3">
      <c r="B166" s="19" t="s">
        <v>556</v>
      </c>
      <c r="C166" s="19" t="s">
        <v>95</v>
      </c>
    </row>
    <row r="167" spans="2:3">
      <c r="B167" s="19" t="s">
        <v>2490</v>
      </c>
      <c r="C167" s="19" t="s">
        <v>99</v>
      </c>
    </row>
    <row r="168" spans="2:3">
      <c r="B168" s="19" t="s">
        <v>564</v>
      </c>
      <c r="C168" s="19" t="s">
        <v>100</v>
      </c>
    </row>
    <row r="169" spans="2:3">
      <c r="B169" s="19" t="s">
        <v>565</v>
      </c>
      <c r="C169" s="19" t="s">
        <v>117</v>
      </c>
    </row>
    <row r="170" spans="2:3">
      <c r="B170" s="19" t="s">
        <v>566</v>
      </c>
      <c r="C170" s="19" t="s">
        <v>118</v>
      </c>
    </row>
    <row r="171" spans="2:3">
      <c r="B171" s="19" t="s">
        <v>567</v>
      </c>
      <c r="C171" s="19" t="s">
        <v>180</v>
      </c>
    </row>
    <row r="172" spans="2:3">
      <c r="B172" s="19" t="s">
        <v>568</v>
      </c>
      <c r="C172" s="19" t="s">
        <v>181</v>
      </c>
    </row>
    <row r="173" spans="2:3" ht="25.5">
      <c r="B173" s="19" t="s">
        <v>569</v>
      </c>
      <c r="C173" s="19" t="s">
        <v>112</v>
      </c>
    </row>
    <row r="174" spans="2:3" ht="25.5">
      <c r="B174" s="19" t="s">
        <v>570</v>
      </c>
      <c r="C174" s="19" t="s">
        <v>7</v>
      </c>
    </row>
    <row r="175" spans="2:3" ht="25.5">
      <c r="B175" s="19" t="s">
        <v>571</v>
      </c>
      <c r="C175" s="19" t="s">
        <v>20</v>
      </c>
    </row>
    <row r="176" spans="2:3" ht="25.5">
      <c r="B176" s="19" t="str">
        <f>"Fixed Costs
["&amp;Currency&amp;"/h]"</f>
        <v>Fixed Costs
[EUR/h]</v>
      </c>
      <c r="C176" s="19" t="str">
        <f>"Fixkosten 
["&amp;Currency&amp;"/h]"</f>
        <v>Fixkosten 
[EUR/h]</v>
      </c>
    </row>
    <row r="177" spans="2:3" ht="25.5">
      <c r="B177" s="19" t="str">
        <f>"Variable costs 
["&amp;Currency&amp;"/h]"</f>
        <v>Variable costs 
[EUR/h]</v>
      </c>
      <c r="C177" s="19" t="str">
        <f>"Variable Kosten 
["&amp;Currency&amp;"/h]"</f>
        <v>Variable Kosten 
[EUR/h]</v>
      </c>
    </row>
    <row r="178" spans="2:3" ht="25.5">
      <c r="B178" s="19" t="str">
        <f>"Rent 
["&amp;Currency&amp;"/m²]"</f>
        <v>Rent 
[EUR/m²]</v>
      </c>
      <c r="C178" s="19" t="str">
        <f>"Miete 
["&amp;Currency&amp;"/m²]"</f>
        <v>Miete 
[EUR/m²]</v>
      </c>
    </row>
    <row r="179" spans="2:3">
      <c r="B179" s="19" t="s">
        <v>1376</v>
      </c>
      <c r="C179" s="19" t="s">
        <v>56</v>
      </c>
    </row>
    <row r="180" spans="2:3">
      <c r="B180" s="19" t="s">
        <v>588</v>
      </c>
      <c r="C180" s="19" t="s">
        <v>107</v>
      </c>
    </row>
    <row r="181" spans="2:3">
      <c r="B181" s="19" t="s">
        <v>589</v>
      </c>
      <c r="C181" s="19" t="s">
        <v>106</v>
      </c>
    </row>
    <row r="182" spans="2:3">
      <c r="B182" s="19" t="s">
        <v>590</v>
      </c>
      <c r="C182" s="19" t="s">
        <v>1593</v>
      </c>
    </row>
    <row r="183" spans="2:3">
      <c r="B183" s="19" t="s">
        <v>1521</v>
      </c>
      <c r="C183" s="19" t="s">
        <v>57</v>
      </c>
    </row>
    <row r="184" spans="2:3">
      <c r="B184" s="19" t="s">
        <v>874</v>
      </c>
      <c r="C184" s="19" t="s">
        <v>705</v>
      </c>
    </row>
    <row r="185" spans="2:3">
      <c r="B185" s="19" t="s">
        <v>903</v>
      </c>
      <c r="C185" s="19" t="s">
        <v>904</v>
      </c>
    </row>
    <row r="186" spans="2:3">
      <c r="B186" s="19" t="s">
        <v>905</v>
      </c>
      <c r="C186" s="19" t="s">
        <v>703</v>
      </c>
    </row>
    <row r="187" spans="2:3">
      <c r="B187" s="19" t="s">
        <v>915</v>
      </c>
      <c r="C187" s="19" t="s">
        <v>914</v>
      </c>
    </row>
    <row r="188" spans="2:3">
      <c r="B188" s="19" t="s">
        <v>952</v>
      </c>
      <c r="C188" s="470" t="s">
        <v>940</v>
      </c>
    </row>
    <row r="189" spans="2:3">
      <c r="B189" s="19" t="s">
        <v>953</v>
      </c>
      <c r="C189" s="470" t="s">
        <v>945</v>
      </c>
    </row>
    <row r="190" spans="2:3" ht="25.5">
      <c r="B190" s="19" t="s">
        <v>954</v>
      </c>
      <c r="C190" s="470" t="s">
        <v>941</v>
      </c>
    </row>
    <row r="191" spans="2:3" ht="25.5">
      <c r="B191" s="19" t="s">
        <v>1278</v>
      </c>
      <c r="C191" s="470" t="s">
        <v>1275</v>
      </c>
    </row>
    <row r="192" spans="2:3" ht="25.5">
      <c r="B192" s="19" t="s">
        <v>1279</v>
      </c>
      <c r="C192" s="470" t="s">
        <v>1276</v>
      </c>
    </row>
    <row r="193" spans="2:3">
      <c r="B193" s="19" t="s">
        <v>957</v>
      </c>
      <c r="C193" s="470" t="s">
        <v>942</v>
      </c>
    </row>
    <row r="194" spans="2:3" ht="25.5">
      <c r="B194" s="19" t="s">
        <v>1040</v>
      </c>
      <c r="C194" s="19" t="s">
        <v>1090</v>
      </c>
    </row>
    <row r="195" spans="2:3" ht="25.5">
      <c r="B195" s="19" t="s">
        <v>1277</v>
      </c>
      <c r="C195" s="19" t="s">
        <v>1274</v>
      </c>
    </row>
    <row r="196" spans="2:3" ht="25.5">
      <c r="B196" s="470" t="s">
        <v>960</v>
      </c>
      <c r="C196" s="470" t="s">
        <v>946</v>
      </c>
    </row>
    <row r="197" spans="2:3" ht="25.5">
      <c r="B197" s="19" t="s">
        <v>958</v>
      </c>
      <c r="C197" s="470" t="s">
        <v>943</v>
      </c>
    </row>
    <row r="198" spans="2:3" ht="25.5">
      <c r="B198" s="19" t="s">
        <v>959</v>
      </c>
      <c r="C198" s="470" t="s">
        <v>944</v>
      </c>
    </row>
    <row r="199" spans="2:3">
      <c r="B199" s="19" t="s">
        <v>1184</v>
      </c>
      <c r="C199" s="470" t="s">
        <v>1093</v>
      </c>
    </row>
    <row r="200" spans="2:3">
      <c r="B200" s="19" t="s">
        <v>1185</v>
      </c>
      <c r="C200" s="470" t="s">
        <v>1094</v>
      </c>
    </row>
    <row r="201" spans="2:3">
      <c r="B201" s="19" t="s">
        <v>1186</v>
      </c>
      <c r="C201" s="470" t="s">
        <v>1067</v>
      </c>
    </row>
    <row r="202" spans="2:3">
      <c r="B202" s="19" t="s">
        <v>1188</v>
      </c>
      <c r="C202" s="470" t="s">
        <v>1069</v>
      </c>
    </row>
    <row r="203" spans="2:3">
      <c r="B203" s="19" t="s">
        <v>1187</v>
      </c>
      <c r="C203" s="470" t="s">
        <v>1082</v>
      </c>
    </row>
    <row r="204" spans="2:3">
      <c r="B204" s="470" t="s">
        <v>1203</v>
      </c>
      <c r="C204" s="470" t="s">
        <v>1198</v>
      </c>
    </row>
    <row r="205" spans="2:3">
      <c r="B205" s="19" t="s">
        <v>1168</v>
      </c>
      <c r="C205" s="470" t="s">
        <v>1014</v>
      </c>
    </row>
    <row r="206" spans="2:3">
      <c r="B206" s="19" t="s">
        <v>1191</v>
      </c>
      <c r="C206" s="470" t="s">
        <v>989</v>
      </c>
    </row>
    <row r="207" spans="2:3">
      <c r="B207" s="19" t="s">
        <v>1169</v>
      </c>
      <c r="C207" s="470" t="s">
        <v>1046</v>
      </c>
    </row>
    <row r="208" spans="2:3">
      <c r="B208" s="19" t="s">
        <v>1170</v>
      </c>
      <c r="C208" s="470" t="s">
        <v>990</v>
      </c>
    </row>
    <row r="209" spans="2:3">
      <c r="B209" s="19" t="s">
        <v>1171</v>
      </c>
      <c r="C209" s="470" t="s">
        <v>1013</v>
      </c>
    </row>
    <row r="210" spans="2:3" ht="25.5">
      <c r="B210" s="19" t="s">
        <v>1172</v>
      </c>
      <c r="C210" s="470" t="s">
        <v>1020</v>
      </c>
    </row>
    <row r="211" spans="2:3">
      <c r="B211" s="19" t="s">
        <v>1173</v>
      </c>
      <c r="C211" s="470" t="s">
        <v>1017</v>
      </c>
    </row>
    <row r="212" spans="2:3" ht="25.5">
      <c r="B212" s="19" t="s">
        <v>1174</v>
      </c>
      <c r="C212" s="470" t="s">
        <v>1016</v>
      </c>
    </row>
    <row r="213" spans="2:3">
      <c r="B213" s="19" t="s">
        <v>1205</v>
      </c>
      <c r="C213" s="470" t="s">
        <v>1196</v>
      </c>
    </row>
    <row r="214" spans="2:3">
      <c r="B214" s="19" t="s">
        <v>1206</v>
      </c>
      <c r="C214" s="470" t="s">
        <v>1197</v>
      </c>
    </row>
    <row r="215" spans="2:3">
      <c r="B215" s="19" t="s">
        <v>1189</v>
      </c>
      <c r="C215" s="470" t="s">
        <v>1083</v>
      </c>
    </row>
    <row r="216" spans="2:3">
      <c r="B216" s="19" t="s">
        <v>1175</v>
      </c>
      <c r="C216" s="470" t="s">
        <v>1055</v>
      </c>
    </row>
    <row r="217" spans="2:3">
      <c r="B217" s="19" t="s">
        <v>1176</v>
      </c>
      <c r="C217" s="470" t="s">
        <v>1056</v>
      </c>
    </row>
    <row r="218" spans="2:3">
      <c r="B218" s="19" t="s">
        <v>1177</v>
      </c>
      <c r="C218" s="470" t="s">
        <v>1057</v>
      </c>
    </row>
    <row r="219" spans="2:3">
      <c r="B219" s="19" t="s">
        <v>134</v>
      </c>
      <c r="C219" s="470" t="s">
        <v>1047</v>
      </c>
    </row>
    <row r="220" spans="2:3">
      <c r="B220" s="19" t="s">
        <v>1178</v>
      </c>
      <c r="C220" s="470" t="s">
        <v>1049</v>
      </c>
    </row>
    <row r="221" spans="2:3">
      <c r="B221" s="19" t="s">
        <v>1179</v>
      </c>
      <c r="C221" s="470" t="s">
        <v>1050</v>
      </c>
    </row>
    <row r="222" spans="2:3">
      <c r="B222" s="19" t="s">
        <v>1180</v>
      </c>
      <c r="C222" s="470" t="s">
        <v>1051</v>
      </c>
    </row>
    <row r="223" spans="2:3">
      <c r="B223" s="19" t="s">
        <v>1181</v>
      </c>
      <c r="C223" s="470" t="s">
        <v>1052</v>
      </c>
    </row>
    <row r="224" spans="2:3">
      <c r="B224" s="19" t="s">
        <v>1183</v>
      </c>
      <c r="C224" s="470" t="s">
        <v>1053</v>
      </c>
    </row>
    <row r="225" spans="2:3">
      <c r="B225" s="19" t="s">
        <v>962</v>
      </c>
      <c r="C225" s="470" t="s">
        <v>1054</v>
      </c>
    </row>
    <row r="226" spans="2:3" ht="25.5">
      <c r="B226" s="19" t="str">
        <f>"Interest bearing investment
in " &amp;Currency</f>
        <v>Interest bearing investment
in EUR</v>
      </c>
      <c r="C226" s="470" t="str">
        <f>"Zu verzinsender Invest
in " &amp;Currency</f>
        <v>Zu verzinsender Invest
in EUR</v>
      </c>
    </row>
    <row r="227" spans="2:3">
      <c r="B227" s="471" t="s">
        <v>1204</v>
      </c>
      <c r="C227" s="471" t="s">
        <v>1199</v>
      </c>
    </row>
    <row r="228" spans="2:3">
      <c r="B228" s="19" t="s">
        <v>597</v>
      </c>
      <c r="C228" s="19" t="s">
        <v>558</v>
      </c>
    </row>
    <row r="229" spans="2:3">
      <c r="B229" s="19" t="s">
        <v>2491</v>
      </c>
      <c r="C229" s="19" t="s">
        <v>1243</v>
      </c>
    </row>
    <row r="230" spans="2:3">
      <c r="B230" s="19" t="s">
        <v>2492</v>
      </c>
      <c r="C230" s="19" t="s">
        <v>1244</v>
      </c>
    </row>
    <row r="231" spans="2:3">
      <c r="B231" s="19" t="s">
        <v>3450</v>
      </c>
      <c r="C231" s="19" t="s">
        <v>1357</v>
      </c>
    </row>
    <row r="232" spans="2:3">
      <c r="B232" s="19" t="s">
        <v>1387</v>
      </c>
      <c r="C232" s="19" t="s">
        <v>1358</v>
      </c>
    </row>
    <row r="233" spans="2:3">
      <c r="B233" s="19" t="s">
        <v>2261</v>
      </c>
      <c r="C233" s="19" t="s">
        <v>1362</v>
      </c>
    </row>
    <row r="234" spans="2:3">
      <c r="B234" s="19" t="s">
        <v>1389</v>
      </c>
      <c r="C234" s="19" t="s">
        <v>1369</v>
      </c>
    </row>
    <row r="235" spans="2:3">
      <c r="B235" s="19" t="s">
        <v>1396</v>
      </c>
      <c r="C235" s="19" t="s">
        <v>1355</v>
      </c>
    </row>
    <row r="236" spans="2:3">
      <c r="B236" s="19" t="s">
        <v>1390</v>
      </c>
      <c r="C236" s="19" t="s">
        <v>1363</v>
      </c>
    </row>
    <row r="237" spans="2:3">
      <c r="B237" s="19" t="s">
        <v>1397</v>
      </c>
      <c r="C237" s="19" t="s">
        <v>384</v>
      </c>
    </row>
    <row r="238" spans="2:3">
      <c r="B238" s="19" t="s">
        <v>1391</v>
      </c>
      <c r="C238" s="19" t="s">
        <v>1364</v>
      </c>
    </row>
    <row r="239" spans="2:3">
      <c r="B239" s="19" t="s">
        <v>1393</v>
      </c>
      <c r="C239" s="19" t="s">
        <v>1368</v>
      </c>
    </row>
    <row r="240" spans="2:3">
      <c r="B240" s="19" t="s">
        <v>1392</v>
      </c>
      <c r="C240" s="19" t="s">
        <v>1356</v>
      </c>
    </row>
    <row r="241" spans="2:3">
      <c r="B241" s="19" t="s">
        <v>1398</v>
      </c>
      <c r="C241" s="19" t="s">
        <v>1327</v>
      </c>
    </row>
    <row r="242" spans="2:3">
      <c r="B242" s="19" t="s">
        <v>496</v>
      </c>
      <c r="C242" s="19" t="s">
        <v>389</v>
      </c>
    </row>
    <row r="243" spans="2:3">
      <c r="B243" s="19" t="s">
        <v>489</v>
      </c>
      <c r="C243" s="19" t="s">
        <v>390</v>
      </c>
    </row>
    <row r="244" spans="2:3">
      <c r="B244" s="19" t="s">
        <v>1399</v>
      </c>
      <c r="C244" s="730" t="s">
        <v>2443</v>
      </c>
    </row>
    <row r="245" spans="2:3">
      <c r="B245" s="19" t="s">
        <v>1386</v>
      </c>
      <c r="C245" s="19" t="s">
        <v>1385</v>
      </c>
    </row>
    <row r="246" spans="2:3">
      <c r="B246" s="19" t="s">
        <v>2310</v>
      </c>
      <c r="C246" s="19" t="s">
        <v>1361</v>
      </c>
    </row>
    <row r="247" spans="2:3">
      <c r="B247" s="19" t="s">
        <v>1394</v>
      </c>
      <c r="C247" s="19" t="s">
        <v>1370</v>
      </c>
    </row>
    <row r="248" spans="2:3">
      <c r="B248" s="19" t="s">
        <v>2612</v>
      </c>
      <c r="C248" s="19" t="s">
        <v>2594</v>
      </c>
    </row>
    <row r="249" spans="2:3">
      <c r="B249" s="19" t="s">
        <v>2615</v>
      </c>
      <c r="C249" s="19" t="s">
        <v>697</v>
      </c>
    </row>
    <row r="250" spans="2:3">
      <c r="B250" s="19" t="s">
        <v>2616</v>
      </c>
      <c r="C250" s="19" t="s">
        <v>698</v>
      </c>
    </row>
    <row r="251" spans="2:3">
      <c r="B251" s="19" t="s">
        <v>1404</v>
      </c>
      <c r="C251" s="19" t="s">
        <v>672</v>
      </c>
    </row>
    <row r="252" spans="2:3">
      <c r="B252" s="19" t="s">
        <v>1405</v>
      </c>
      <c r="C252" s="19" t="s">
        <v>673</v>
      </c>
    </row>
    <row r="253" spans="2:3">
      <c r="B253" s="19" t="s">
        <v>1400</v>
      </c>
      <c r="C253" s="19" t="s">
        <v>674</v>
      </c>
    </row>
    <row r="254" spans="2:3">
      <c r="B254" s="19" t="s">
        <v>2614</v>
      </c>
      <c r="C254" s="19" t="s">
        <v>2613</v>
      </c>
    </row>
    <row r="255" spans="2:3">
      <c r="B255" s="19" t="s">
        <v>1402</v>
      </c>
      <c r="C255" s="19" t="s">
        <v>690</v>
      </c>
    </row>
    <row r="256" spans="2:3">
      <c r="B256" s="19" t="s">
        <v>1403</v>
      </c>
      <c r="C256" s="19" t="s">
        <v>691</v>
      </c>
    </row>
    <row r="257" spans="2:3">
      <c r="B257" s="19" t="s">
        <v>3451</v>
      </c>
      <c r="C257" s="19" t="s">
        <v>1359</v>
      </c>
    </row>
    <row r="258" spans="2:3">
      <c r="B258" s="19" t="s">
        <v>1533</v>
      </c>
      <c r="C258" s="19" t="s">
        <v>1360</v>
      </c>
    </row>
    <row r="259" spans="2:3">
      <c r="B259" s="13" t="s">
        <v>2088</v>
      </c>
      <c r="C259" s="13" t="s">
        <v>1526</v>
      </c>
    </row>
    <row r="260" spans="2:3">
      <c r="B260" s="13" t="s">
        <v>2090</v>
      </c>
      <c r="C260" s="13" t="s">
        <v>2089</v>
      </c>
    </row>
    <row r="261" spans="2:3">
      <c r="B261" s="19" t="s">
        <v>2118</v>
      </c>
      <c r="C261" s="19" t="s">
        <v>2115</v>
      </c>
    </row>
    <row r="262" spans="2:3">
      <c r="B262" s="19" t="s">
        <v>2119</v>
      </c>
      <c r="C262" s="19" t="s">
        <v>2116</v>
      </c>
    </row>
    <row r="263" spans="2:3">
      <c r="B263" s="19" t="s">
        <v>2149</v>
      </c>
      <c r="C263" s="19" t="s">
        <v>2147</v>
      </c>
    </row>
    <row r="264" spans="2:3">
      <c r="B264" s="19" t="s">
        <v>2155</v>
      </c>
      <c r="C264" s="19" t="s">
        <v>2146</v>
      </c>
    </row>
    <row r="265" spans="2:3">
      <c r="B265" s="19" t="s">
        <v>2150</v>
      </c>
      <c r="C265" s="19" t="s">
        <v>2108</v>
      </c>
    </row>
    <row r="266" spans="2:3">
      <c r="B266" s="19" t="s">
        <v>2151</v>
      </c>
      <c r="C266" s="19" t="s">
        <v>2109</v>
      </c>
    </row>
    <row r="267" spans="2:3">
      <c r="B267" s="19" t="s">
        <v>2152</v>
      </c>
      <c r="C267" s="19" t="s">
        <v>2110</v>
      </c>
    </row>
    <row r="268" spans="2:3">
      <c r="B268" s="19" t="s">
        <v>2153</v>
      </c>
      <c r="C268" s="19" t="s">
        <v>2111</v>
      </c>
    </row>
    <row r="269" spans="2:3">
      <c r="B269" s="19" t="s">
        <v>2112</v>
      </c>
      <c r="C269" s="19" t="s">
        <v>2112</v>
      </c>
    </row>
    <row r="270" spans="2:3">
      <c r="B270" s="19" t="s">
        <v>2156</v>
      </c>
      <c r="C270" s="19" t="s">
        <v>2113</v>
      </c>
    </row>
    <row r="271" spans="2:3">
      <c r="B271" s="19" t="s">
        <v>2180</v>
      </c>
      <c r="C271" s="19" t="s">
        <v>2148</v>
      </c>
    </row>
    <row r="272" spans="2:3">
      <c r="B272" s="19" t="s">
        <v>2179</v>
      </c>
      <c r="C272" s="19" t="s">
        <v>2114</v>
      </c>
    </row>
    <row r="273" spans="2:3">
      <c r="B273" s="19" t="s">
        <v>2154</v>
      </c>
      <c r="C273" s="19" t="s">
        <v>2145</v>
      </c>
    </row>
    <row r="274" spans="2:3">
      <c r="B274" s="19" t="s">
        <v>596</v>
      </c>
      <c r="C274" s="19" t="s">
        <v>25</v>
      </c>
    </row>
    <row r="275" spans="2:3">
      <c r="B275" s="19" t="s">
        <v>2231</v>
      </c>
      <c r="C275" s="19" t="s">
        <v>2233</v>
      </c>
    </row>
    <row r="276" spans="2:3">
      <c r="B276" s="19" t="s">
        <v>2175</v>
      </c>
      <c r="C276" s="19" t="s">
        <v>2232</v>
      </c>
    </row>
    <row r="277" spans="2:3">
      <c r="B277" s="19" t="s">
        <v>2178</v>
      </c>
      <c r="C277" s="19" t="s">
        <v>2234</v>
      </c>
    </row>
    <row r="278" spans="2:3">
      <c r="B278" s="19" t="s">
        <v>2173</v>
      </c>
      <c r="C278" s="19" t="s">
        <v>2235</v>
      </c>
    </row>
    <row r="279" spans="2:3">
      <c r="B279" s="19" t="s">
        <v>2228</v>
      </c>
      <c r="C279" s="19" t="s">
        <v>2236</v>
      </c>
    </row>
    <row r="280" spans="2:3">
      <c r="B280" s="19" t="s">
        <v>2174</v>
      </c>
      <c r="C280" s="19" t="s">
        <v>2237</v>
      </c>
    </row>
    <row r="281" spans="2:3" ht="25.5">
      <c r="B281" s="19" t="s">
        <v>2218</v>
      </c>
      <c r="C281" s="19" t="s">
        <v>2217</v>
      </c>
    </row>
    <row r="282" spans="2:3">
      <c r="B282" s="19" t="s">
        <v>2163</v>
      </c>
      <c r="C282" s="19" t="s">
        <v>2165</v>
      </c>
    </row>
    <row r="283" spans="2:3" ht="25.5">
      <c r="B283" s="19" t="s">
        <v>2227</v>
      </c>
      <c r="C283" s="19" t="s">
        <v>1522</v>
      </c>
    </row>
    <row r="284" spans="2:3">
      <c r="B284" s="19" t="s">
        <v>2225</v>
      </c>
      <c r="C284" s="19" t="s">
        <v>2172</v>
      </c>
    </row>
    <row r="285" spans="2:3">
      <c r="B285" s="19" t="s">
        <v>2226</v>
      </c>
      <c r="C285" s="19" t="s">
        <v>2157</v>
      </c>
    </row>
    <row r="286" spans="2:3">
      <c r="B286" s="19" t="s">
        <v>961</v>
      </c>
      <c r="C286" s="19" t="s">
        <v>1102</v>
      </c>
    </row>
    <row r="287" spans="2:3">
      <c r="B287" s="19" t="s">
        <v>1253</v>
      </c>
      <c r="C287" s="19" t="s">
        <v>1004</v>
      </c>
    </row>
    <row r="288" spans="2:3">
      <c r="B288" s="19" t="s">
        <v>2229</v>
      </c>
      <c r="C288" s="19" t="s">
        <v>2230</v>
      </c>
    </row>
    <row r="289" spans="2:3">
      <c r="B289" s="19" t="s">
        <v>2292</v>
      </c>
      <c r="C289" s="470" t="s">
        <v>2244</v>
      </c>
    </row>
    <row r="290" spans="2:3">
      <c r="B290" s="19" t="s">
        <v>2293</v>
      </c>
      <c r="C290" s="472" t="s">
        <v>2246</v>
      </c>
    </row>
    <row r="291" spans="2:3">
      <c r="B291" s="19" t="s">
        <v>2133</v>
      </c>
      <c r="C291" s="470" t="s">
        <v>202</v>
      </c>
    </row>
    <row r="292" spans="2:3">
      <c r="B292" s="19" t="s">
        <v>2304</v>
      </c>
      <c r="C292" s="19" t="s">
        <v>2298</v>
      </c>
    </row>
    <row r="293" spans="2:3">
      <c r="B293" s="19" t="s">
        <v>2305</v>
      </c>
      <c r="C293" s="19" t="s">
        <v>2299</v>
      </c>
    </row>
    <row r="294" spans="2:3">
      <c r="B294" s="19" t="s">
        <v>2306</v>
      </c>
      <c r="C294" s="19" t="s">
        <v>2300</v>
      </c>
    </row>
    <row r="295" spans="2:3">
      <c r="B295" s="19" t="str">
        <f>"Tooling costs in "&amp;Currency</f>
        <v>Tooling costs in EUR</v>
      </c>
      <c r="C295" s="19" t="str">
        <f>"Werkzeugkosten in "&amp;Currency</f>
        <v>Werkzeugkosten in EUR</v>
      </c>
    </row>
    <row r="296" spans="2:3">
      <c r="B296" s="19" t="s">
        <v>1395</v>
      </c>
      <c r="C296" s="19" t="s">
        <v>2297</v>
      </c>
    </row>
    <row r="297" spans="2:3">
      <c r="B297" s="19" t="s">
        <v>2307</v>
      </c>
      <c r="C297" s="19" t="s">
        <v>2301</v>
      </c>
    </row>
    <row r="298" spans="2:3">
      <c r="B298" s="19" t="s">
        <v>2296</v>
      </c>
      <c r="C298" s="19" t="s">
        <v>2296</v>
      </c>
    </row>
    <row r="299" spans="2:3">
      <c r="B299" s="19" t="s">
        <v>2308</v>
      </c>
      <c r="C299" s="19" t="s">
        <v>2302</v>
      </c>
    </row>
    <row r="300" spans="2:3">
      <c r="B300" s="19" t="s">
        <v>2309</v>
      </c>
      <c r="C300" s="19" t="s">
        <v>2303</v>
      </c>
    </row>
    <row r="301" spans="2:3">
      <c r="B301" s="19" t="s">
        <v>2327</v>
      </c>
      <c r="C301" s="19" t="s">
        <v>2328</v>
      </c>
    </row>
    <row r="302" spans="2:3" ht="25.5">
      <c r="B302" s="19" t="s">
        <v>2356</v>
      </c>
      <c r="C302" s="19" t="s">
        <v>2355</v>
      </c>
    </row>
    <row r="303" spans="2:3">
      <c r="B303" s="19" t="s">
        <v>2440</v>
      </c>
      <c r="C303" s="19" t="s">
        <v>2434</v>
      </c>
    </row>
    <row r="304" spans="2:3">
      <c r="B304" s="19" t="s">
        <v>2469</v>
      </c>
      <c r="C304" s="19" t="s">
        <v>2379</v>
      </c>
    </row>
    <row r="305" spans="2:3">
      <c r="B305" s="19" t="s">
        <v>2470</v>
      </c>
      <c r="C305" s="19" t="s">
        <v>2380</v>
      </c>
    </row>
    <row r="306" spans="2:3">
      <c r="B306" s="19" t="s">
        <v>2471</v>
      </c>
      <c r="C306" s="19" t="s">
        <v>2381</v>
      </c>
    </row>
    <row r="307" spans="2:3">
      <c r="B307" s="19" t="s">
        <v>2472</v>
      </c>
      <c r="C307" s="19" t="s">
        <v>2382</v>
      </c>
    </row>
    <row r="308" spans="2:3">
      <c r="B308" s="19" t="s">
        <v>2473</v>
      </c>
      <c r="C308" s="19" t="s">
        <v>2467</v>
      </c>
    </row>
    <row r="309" spans="2:3">
      <c r="B309" s="19" t="s">
        <v>2474</v>
      </c>
      <c r="C309" s="19" t="s">
        <v>2468</v>
      </c>
    </row>
    <row r="310" spans="2:3">
      <c r="B310" s="19" t="s">
        <v>2477</v>
      </c>
      <c r="C310" s="19" t="s">
        <v>2475</v>
      </c>
    </row>
    <row r="311" spans="2:3">
      <c r="B311" s="19" t="s">
        <v>2478</v>
      </c>
      <c r="C311" s="19" t="s">
        <v>2476</v>
      </c>
    </row>
    <row r="312" spans="2:3">
      <c r="B312" s="19" t="s">
        <v>2578</v>
      </c>
      <c r="C312" s="19" t="s">
        <v>2510</v>
      </c>
    </row>
    <row r="313" spans="2:3">
      <c r="B313" s="19" t="s">
        <v>2663</v>
      </c>
      <c r="C313" s="19" t="s">
        <v>2661</v>
      </c>
    </row>
    <row r="314" spans="2:3">
      <c r="B314" s="19" t="s">
        <v>2664</v>
      </c>
      <c r="C314" s="19" t="s">
        <v>2662</v>
      </c>
    </row>
    <row r="315" spans="2:3">
      <c r="B315" s="19" t="s">
        <v>2666</v>
      </c>
      <c r="C315" s="19" t="s">
        <v>2539</v>
      </c>
    </row>
    <row r="316" spans="2:3">
      <c r="B316" s="19" t="s">
        <v>3223</v>
      </c>
      <c r="C316" s="19" t="s">
        <v>3221</v>
      </c>
    </row>
    <row r="317" spans="2:3">
      <c r="B317" s="1075" t="s">
        <v>3312</v>
      </c>
      <c r="C317" s="1075" t="s">
        <v>3311</v>
      </c>
    </row>
    <row r="318" spans="2:3">
      <c r="B318" s="1075" t="s">
        <v>3313</v>
      </c>
      <c r="C318" s="1075" t="s">
        <v>3314</v>
      </c>
    </row>
    <row r="319" spans="2:3">
      <c r="B319" s="1075" t="s">
        <v>197</v>
      </c>
      <c r="C319" s="1075" t="s">
        <v>3176</v>
      </c>
    </row>
    <row r="320" spans="2:3">
      <c r="B320" s="1075" t="s">
        <v>3315</v>
      </c>
      <c r="C320" s="1075" t="s">
        <v>3178</v>
      </c>
    </row>
    <row r="321" spans="2:3">
      <c r="B321" s="1075" t="s">
        <v>3316</v>
      </c>
      <c r="C321" s="1075" t="s">
        <v>3180</v>
      </c>
    </row>
    <row r="322" spans="2:3">
      <c r="B322" s="1075" t="s">
        <v>3317</v>
      </c>
      <c r="C322" s="1075" t="s">
        <v>3181</v>
      </c>
    </row>
    <row r="323" spans="2:3">
      <c r="B323" s="1075" t="s">
        <v>3318</v>
      </c>
      <c r="C323" s="1075" t="s">
        <v>3182</v>
      </c>
    </row>
    <row r="324" spans="2:3" ht="25.5">
      <c r="B324" s="19" t="s">
        <v>3774</v>
      </c>
      <c r="C324" s="19" t="s">
        <v>3187</v>
      </c>
    </row>
    <row r="325" spans="2:3">
      <c r="B325" s="1075" t="s">
        <v>3319</v>
      </c>
      <c r="C325" s="1075" t="s">
        <v>3188</v>
      </c>
    </row>
    <row r="326" spans="2:3">
      <c r="B326" s="1075" t="s">
        <v>3320</v>
      </c>
      <c r="C326" s="1075" t="s">
        <v>3189</v>
      </c>
    </row>
    <row r="327" spans="2:3">
      <c r="B327" s="1075" t="s">
        <v>3321</v>
      </c>
      <c r="C327" s="1075" t="s">
        <v>3190</v>
      </c>
    </row>
    <row r="328" spans="2:3" ht="25.5">
      <c r="B328" s="19" t="s">
        <v>3771</v>
      </c>
      <c r="C328" s="19" t="s">
        <v>3769</v>
      </c>
    </row>
    <row r="329" spans="2:3" ht="25.5">
      <c r="B329" s="19" t="s">
        <v>3772</v>
      </c>
      <c r="C329" s="19" t="s">
        <v>3770</v>
      </c>
    </row>
    <row r="330" spans="2:3" ht="25.5">
      <c r="B330" s="19" t="s">
        <v>3194</v>
      </c>
      <c r="C330" s="19" t="s">
        <v>3773</v>
      </c>
    </row>
    <row r="331" spans="2:3">
      <c r="B331" s="1075" t="s">
        <v>624</v>
      </c>
      <c r="C331" s="1075" t="s">
        <v>23</v>
      </c>
    </row>
    <row r="332" spans="2:3">
      <c r="B332" s="1075" t="s">
        <v>3322</v>
      </c>
      <c r="C332" s="1075" t="s">
        <v>3177</v>
      </c>
    </row>
    <row r="333" spans="2:3">
      <c r="B333" s="1075" t="s">
        <v>3323</v>
      </c>
      <c r="C333" s="1075" t="s">
        <v>3179</v>
      </c>
    </row>
    <row r="334" spans="2:3">
      <c r="B334" s="1075" t="s">
        <v>3324</v>
      </c>
      <c r="C334" s="1075" t="s">
        <v>539</v>
      </c>
    </row>
    <row r="335" spans="2:3">
      <c r="B335" s="1075" t="s">
        <v>3325</v>
      </c>
      <c r="C335" s="1075" t="s">
        <v>3183</v>
      </c>
    </row>
    <row r="336" spans="2:3">
      <c r="B336" s="1075" t="s">
        <v>3326</v>
      </c>
      <c r="C336" s="1075" t="s">
        <v>3174</v>
      </c>
    </row>
    <row r="337" spans="2:3">
      <c r="B337" s="1075" t="s">
        <v>3327</v>
      </c>
      <c r="C337" s="1075" t="s">
        <v>3175</v>
      </c>
    </row>
    <row r="338" spans="2:3" ht="15.75">
      <c r="B338" s="19" t="s">
        <v>3334</v>
      </c>
      <c r="C338" s="19" t="s">
        <v>3333</v>
      </c>
    </row>
    <row r="339" spans="2:3">
      <c r="B339" s="19" t="s">
        <v>3337</v>
      </c>
      <c r="C339" s="19" t="s">
        <v>3330</v>
      </c>
    </row>
    <row r="340" spans="2:3">
      <c r="B340" s="19" t="s">
        <v>3336</v>
      </c>
      <c r="C340" s="19" t="s">
        <v>3331</v>
      </c>
    </row>
    <row r="341" spans="2:3">
      <c r="B341" s="19" t="s">
        <v>3356</v>
      </c>
      <c r="C341" s="19" t="s">
        <v>3340</v>
      </c>
    </row>
    <row r="342" spans="2:3">
      <c r="B342" s="19" t="s">
        <v>3357</v>
      </c>
      <c r="C342" s="19" t="s">
        <v>3342</v>
      </c>
    </row>
    <row r="343" spans="2:3">
      <c r="B343" s="19" t="s">
        <v>3358</v>
      </c>
      <c r="C343" s="19" t="s">
        <v>3343</v>
      </c>
    </row>
    <row r="344" spans="2:3">
      <c r="B344" s="19" t="s">
        <v>3344</v>
      </c>
      <c r="C344" s="19" t="s">
        <v>3344</v>
      </c>
    </row>
    <row r="345" spans="2:3">
      <c r="B345" s="19" t="s">
        <v>3359</v>
      </c>
      <c r="C345" s="19" t="s">
        <v>3345</v>
      </c>
    </row>
    <row r="346" spans="2:3">
      <c r="B346" s="19" t="s">
        <v>3370</v>
      </c>
      <c r="C346" s="1080" t="s">
        <v>3368</v>
      </c>
    </row>
    <row r="347" spans="2:3">
      <c r="B347" s="19" t="s">
        <v>3360</v>
      </c>
      <c r="C347" s="19" t="s">
        <v>439</v>
      </c>
    </row>
    <row r="348" spans="2:3">
      <c r="B348" s="19" t="s">
        <v>3361</v>
      </c>
      <c r="C348" s="19" t="s">
        <v>3350</v>
      </c>
    </row>
    <row r="349" spans="2:3">
      <c r="B349" s="19" t="s">
        <v>3362</v>
      </c>
      <c r="C349" s="19" t="s">
        <v>3351</v>
      </c>
    </row>
    <row r="350" spans="2:3">
      <c r="B350" s="1081" t="s">
        <v>3365</v>
      </c>
      <c r="C350" s="19" t="s">
        <v>3341</v>
      </c>
    </row>
    <row r="351" spans="2:3">
      <c r="B351" s="19" t="s">
        <v>3369</v>
      </c>
      <c r="C351" s="19" t="s">
        <v>3369</v>
      </c>
    </row>
    <row r="352" spans="2:3">
      <c r="B352" s="1081" t="s">
        <v>3372</v>
      </c>
      <c r="C352" s="1081" t="s">
        <v>3371</v>
      </c>
    </row>
    <row r="353" spans="2:3">
      <c r="B353" s="1081" t="s">
        <v>3508</v>
      </c>
      <c r="C353" s="1081" t="s">
        <v>3463</v>
      </c>
    </row>
    <row r="354" spans="2:3">
      <c r="B354" s="1081" t="s">
        <v>3509</v>
      </c>
      <c r="C354" s="1081" t="s">
        <v>3464</v>
      </c>
    </row>
    <row r="355" spans="2:3">
      <c r="B355" s="1081" t="s">
        <v>3510</v>
      </c>
      <c r="C355" s="1081" t="s">
        <v>3465</v>
      </c>
    </row>
    <row r="356" spans="2:3" ht="25.5">
      <c r="B356" s="1081" t="s">
        <v>3511</v>
      </c>
      <c r="C356" s="1081" t="s">
        <v>3576</v>
      </c>
    </row>
    <row r="357" spans="2:3" ht="25.5">
      <c r="B357" s="1081" t="s">
        <v>3575</v>
      </c>
      <c r="C357" s="1081" t="s">
        <v>3577</v>
      </c>
    </row>
    <row r="358" spans="2:3" ht="25.5">
      <c r="B358" s="1081" t="s">
        <v>3512</v>
      </c>
      <c r="C358" s="1081" t="s">
        <v>3466</v>
      </c>
    </row>
    <row r="359" spans="2:3">
      <c r="B359" s="1081" t="s">
        <v>3467</v>
      </c>
      <c r="C359" s="1081" t="s">
        <v>3467</v>
      </c>
    </row>
    <row r="360" spans="2:3">
      <c r="B360" s="1081" t="s">
        <v>3513</v>
      </c>
      <c r="C360" s="1081" t="s">
        <v>3468</v>
      </c>
    </row>
    <row r="361" spans="2:3" ht="25.5">
      <c r="B361" s="1081" t="s">
        <v>3514</v>
      </c>
      <c r="C361" s="1081" t="s">
        <v>3578</v>
      </c>
    </row>
    <row r="362" spans="2:3" ht="25.5">
      <c r="B362" s="1081" t="s">
        <v>3515</v>
      </c>
      <c r="C362" s="1081" t="s">
        <v>3470</v>
      </c>
    </row>
    <row r="363" spans="2:3">
      <c r="B363" s="1081" t="s">
        <v>3516</v>
      </c>
      <c r="C363" s="1081" t="s">
        <v>3471</v>
      </c>
    </row>
    <row r="364" spans="2:3">
      <c r="B364" s="1081" t="s">
        <v>3517</v>
      </c>
      <c r="C364" s="1081" t="s">
        <v>3472</v>
      </c>
    </row>
    <row r="365" spans="2:3">
      <c r="B365" s="1081" t="s">
        <v>3518</v>
      </c>
      <c r="C365" s="1081" t="s">
        <v>3473</v>
      </c>
    </row>
    <row r="366" spans="2:3">
      <c r="B366" s="1081" t="s">
        <v>3519</v>
      </c>
      <c r="C366" s="1081" t="s">
        <v>3475</v>
      </c>
    </row>
    <row r="367" spans="2:3">
      <c r="B367" s="1081" t="s">
        <v>3520</v>
      </c>
      <c r="C367" s="1081" t="s">
        <v>3477</v>
      </c>
    </row>
    <row r="368" spans="2:3">
      <c r="B368" s="1081" t="s">
        <v>3521</v>
      </c>
      <c r="C368" s="1081" t="s">
        <v>3478</v>
      </c>
    </row>
    <row r="369" spans="2:3">
      <c r="B369" s="1081" t="s">
        <v>3522</v>
      </c>
      <c r="C369" s="1081" t="s">
        <v>3479</v>
      </c>
    </row>
    <row r="370" spans="2:3">
      <c r="B370" s="1081" t="s">
        <v>3523</v>
      </c>
      <c r="C370" s="1081" t="s">
        <v>3480</v>
      </c>
    </row>
    <row r="371" spans="2:3">
      <c r="B371" s="1081" t="s">
        <v>3524</v>
      </c>
      <c r="C371" s="1081" t="s">
        <v>3482</v>
      </c>
    </row>
    <row r="372" spans="2:3">
      <c r="B372" s="1081" t="s">
        <v>3525</v>
      </c>
      <c r="C372" s="1081" t="s">
        <v>3491</v>
      </c>
    </row>
    <row r="373" spans="2:3">
      <c r="B373" s="1081" t="s">
        <v>3527</v>
      </c>
      <c r="C373" s="1081" t="s">
        <v>1784</v>
      </c>
    </row>
    <row r="374" spans="2:3">
      <c r="B374" s="1081" t="s">
        <v>3528</v>
      </c>
      <c r="C374" s="1081" t="s">
        <v>3457</v>
      </c>
    </row>
    <row r="375" spans="2:3">
      <c r="B375" s="1081" t="s">
        <v>3529</v>
      </c>
      <c r="C375" s="1081" t="s">
        <v>3458</v>
      </c>
    </row>
    <row r="376" spans="2:3">
      <c r="B376" s="1081" t="s">
        <v>3530</v>
      </c>
      <c r="C376" s="1081" t="s">
        <v>3459</v>
      </c>
    </row>
    <row r="377" spans="2:3">
      <c r="B377" s="1081" t="s">
        <v>3531</v>
      </c>
      <c r="C377" s="1081" t="s">
        <v>3460</v>
      </c>
    </row>
    <row r="378" spans="2:3">
      <c r="B378" s="1081" t="s">
        <v>3532</v>
      </c>
      <c r="C378" s="1081" t="s">
        <v>3492</v>
      </c>
    </row>
    <row r="379" spans="2:3">
      <c r="B379" s="1081" t="s">
        <v>3533</v>
      </c>
      <c r="C379" s="1081" t="s">
        <v>3483</v>
      </c>
    </row>
    <row r="380" spans="2:3">
      <c r="B380" s="1081" t="s">
        <v>3534</v>
      </c>
      <c r="C380" s="1081" t="s">
        <v>3489</v>
      </c>
    </row>
    <row r="381" spans="2:3">
      <c r="B381" s="1081" t="s">
        <v>3499</v>
      </c>
      <c r="C381" s="1081" t="s">
        <v>3499</v>
      </c>
    </row>
    <row r="382" spans="2:3">
      <c r="B382" s="1081" t="s">
        <v>3535</v>
      </c>
      <c r="C382" s="1081" t="s">
        <v>3500</v>
      </c>
    </row>
    <row r="383" spans="2:3">
      <c r="B383" s="1081" t="s">
        <v>3536</v>
      </c>
      <c r="C383" s="1081" t="s">
        <v>3502</v>
      </c>
    </row>
    <row r="384" spans="2:3">
      <c r="B384" s="1081" t="s">
        <v>3537</v>
      </c>
      <c r="C384" s="1081" t="s">
        <v>3504</v>
      </c>
    </row>
    <row r="385" spans="2:3">
      <c r="B385" s="1081" t="s">
        <v>3506</v>
      </c>
      <c r="C385" s="1081" t="s">
        <v>3506</v>
      </c>
    </row>
    <row r="386" spans="2:3">
      <c r="B386" s="1081" t="s">
        <v>3539</v>
      </c>
      <c r="C386" s="1081" t="s">
        <v>3538</v>
      </c>
    </row>
    <row r="387" spans="2:3">
      <c r="B387" s="1081" t="s">
        <v>3540</v>
      </c>
      <c r="C387" s="1081" t="s">
        <v>3540</v>
      </c>
    </row>
    <row r="388" spans="2:3">
      <c r="B388" s="1081" t="s">
        <v>3541</v>
      </c>
      <c r="C388" s="1081" t="s">
        <v>3541</v>
      </c>
    </row>
    <row r="389" spans="2:3">
      <c r="B389" s="1081" t="s">
        <v>3542</v>
      </c>
      <c r="C389" s="1081" t="s">
        <v>3542</v>
      </c>
    </row>
    <row r="390" spans="2:3">
      <c r="B390" s="1081" t="s">
        <v>3486</v>
      </c>
      <c r="C390" s="1081" t="s">
        <v>3486</v>
      </c>
    </row>
    <row r="391" spans="2:3">
      <c r="B391" s="1081" t="s">
        <v>3493</v>
      </c>
      <c r="C391" s="1081" t="s">
        <v>3493</v>
      </c>
    </row>
    <row r="392" spans="2:3">
      <c r="B392" s="1081" t="s">
        <v>3494</v>
      </c>
      <c r="C392" s="1081" t="s">
        <v>3494</v>
      </c>
    </row>
    <row r="393" spans="2:3">
      <c r="B393" s="1081" t="s">
        <v>3543</v>
      </c>
      <c r="C393" s="1081" t="s">
        <v>3495</v>
      </c>
    </row>
    <row r="394" spans="2:3">
      <c r="B394" s="1081" t="s">
        <v>3580</v>
      </c>
      <c r="C394" s="1081" t="s">
        <v>3462</v>
      </c>
    </row>
    <row r="395" spans="2:3">
      <c r="B395" s="1081" t="s">
        <v>3545</v>
      </c>
      <c r="C395" s="1081" t="s">
        <v>3496</v>
      </c>
    </row>
    <row r="396" spans="2:3">
      <c r="B396" s="1081" t="s">
        <v>3546</v>
      </c>
      <c r="C396" s="1081" t="s">
        <v>3497</v>
      </c>
    </row>
    <row r="397" spans="2:3">
      <c r="B397" s="1081" t="s">
        <v>3547</v>
      </c>
      <c r="C397" s="1081" t="s">
        <v>3498</v>
      </c>
    </row>
    <row r="398" spans="2:3">
      <c r="B398" s="1081" t="s">
        <v>3548</v>
      </c>
      <c r="C398" s="1081" t="s">
        <v>3481</v>
      </c>
    </row>
    <row r="399" spans="2:3">
      <c r="B399" s="1081" t="s">
        <v>3549</v>
      </c>
      <c r="C399" s="1081" t="s">
        <v>3461</v>
      </c>
    </row>
    <row r="400" spans="2:3">
      <c r="B400" s="1081" t="s">
        <v>3550</v>
      </c>
      <c r="C400" s="1081" t="s">
        <v>3476</v>
      </c>
    </row>
    <row r="401" spans="2:3">
      <c r="B401" s="1081" t="s">
        <v>3551</v>
      </c>
      <c r="C401" s="1081" t="s">
        <v>3474</v>
      </c>
    </row>
    <row r="402" spans="2:3">
      <c r="B402" s="1081" t="s">
        <v>3552</v>
      </c>
      <c r="C402" s="1081" t="s">
        <v>3484</v>
      </c>
    </row>
    <row r="403" spans="2:3">
      <c r="B403" s="1081" t="s">
        <v>3553</v>
      </c>
      <c r="C403" s="1081" t="s">
        <v>3485</v>
      </c>
    </row>
    <row r="404" spans="2:3">
      <c r="B404" s="1081" t="s">
        <v>3554</v>
      </c>
      <c r="C404" s="1081" t="s">
        <v>3487</v>
      </c>
    </row>
    <row r="405" spans="2:3">
      <c r="B405" s="1081" t="s">
        <v>3555</v>
      </c>
      <c r="C405" s="1081" t="s">
        <v>3488</v>
      </c>
    </row>
    <row r="406" spans="2:3">
      <c r="B406" s="1081" t="s">
        <v>3490</v>
      </c>
      <c r="C406" s="1081" t="s">
        <v>3490</v>
      </c>
    </row>
    <row r="407" spans="2:3">
      <c r="B407" s="1081" t="s">
        <v>3556</v>
      </c>
      <c r="C407" s="1081" t="s">
        <v>3503</v>
      </c>
    </row>
    <row r="408" spans="2:3">
      <c r="B408" s="1081" t="s">
        <v>3557</v>
      </c>
      <c r="C408" s="1081" t="s">
        <v>3505</v>
      </c>
    </row>
    <row r="409" spans="2:3">
      <c r="B409" s="1081" t="s">
        <v>3558</v>
      </c>
      <c r="C409" s="1081" t="s">
        <v>3507</v>
      </c>
    </row>
    <row r="410" spans="2:3">
      <c r="B410" s="1081" t="s">
        <v>3559</v>
      </c>
      <c r="C410" s="1081" t="s">
        <v>3501</v>
      </c>
    </row>
    <row r="411" spans="2:3">
      <c r="B411" s="19" t="s">
        <v>3741</v>
      </c>
      <c r="C411" s="19" t="s">
        <v>3740</v>
      </c>
    </row>
    <row r="412" spans="2:3">
      <c r="B412" s="19" t="s">
        <v>3745</v>
      </c>
      <c r="C412" s="19" t="s">
        <v>2511</v>
      </c>
    </row>
    <row r="413" spans="2:3">
      <c r="B413" s="19" t="s">
        <v>3742</v>
      </c>
      <c r="C413" s="19" t="s">
        <v>3737</v>
      </c>
    </row>
    <row r="414" spans="2:3">
      <c r="B414" s="19" t="s">
        <v>3764</v>
      </c>
      <c r="C414" s="19" t="s">
        <v>3738</v>
      </c>
    </row>
    <row r="415" spans="2:3">
      <c r="B415" s="19" t="s">
        <v>3743</v>
      </c>
      <c r="C415" s="19" t="s">
        <v>3739</v>
      </c>
    </row>
    <row r="416" spans="2:3">
      <c r="B416" s="19" t="s">
        <v>3744</v>
      </c>
      <c r="C416" s="19" t="s">
        <v>3736</v>
      </c>
    </row>
    <row r="417" spans="2:3">
      <c r="B417" s="19" t="s">
        <v>3915</v>
      </c>
      <c r="C417" s="1137" t="s">
        <v>3914</v>
      </c>
    </row>
  </sheetData>
  <phoneticPr fontId="36" type="noConversion"/>
  <conditionalFormatting sqref="B339:B345 B286:B288 B140:B258 B1:B101 B261:B282 B103:B137 B347:B350 B292:B337 B352:B1048576">
    <cfRule type="expression" dxfId="434" priority="1435">
      <formula>_xlfn.ISFORMULA(B1)</formula>
    </cfRule>
    <cfRule type="duplicateValues" dxfId="433" priority="1436"/>
  </conditionalFormatting>
  <conditionalFormatting sqref="C416 C283:C288 C261:C281 C1:C258 C292:C411 C418:C1048576">
    <cfRule type="expression" dxfId="432" priority="1437">
      <formula>_xlfn.ISFORMULA(C1)</formula>
    </cfRule>
    <cfRule type="duplicateValues" dxfId="431" priority="1438"/>
  </conditionalFormatting>
  <conditionalFormatting sqref="B138:B139">
    <cfRule type="expression" dxfId="430" priority="25">
      <formula>_xlfn.ISFORMULA(B138)</formula>
    </cfRule>
    <cfRule type="duplicateValues" dxfId="429" priority="26"/>
  </conditionalFormatting>
  <conditionalFormatting sqref="B102">
    <cfRule type="expression" dxfId="428" priority="23">
      <formula>_xlfn.ISFORMULA(B102)</formula>
    </cfRule>
    <cfRule type="duplicateValues" dxfId="427" priority="24"/>
  </conditionalFormatting>
  <conditionalFormatting sqref="C282">
    <cfRule type="expression" dxfId="426" priority="21">
      <formula>_xlfn.ISFORMULA(C282)</formula>
    </cfRule>
    <cfRule type="duplicateValues" dxfId="425" priority="22"/>
  </conditionalFormatting>
  <conditionalFormatting sqref="B283:B285">
    <cfRule type="expression" dxfId="424" priority="19">
      <formula>_xlfn.ISFORMULA(B283)</formula>
    </cfRule>
    <cfRule type="duplicateValues" dxfId="423" priority="20"/>
  </conditionalFormatting>
  <conditionalFormatting sqref="B289:B291">
    <cfRule type="expression" dxfId="422" priority="15">
      <formula>_xlfn.ISFORMULA(B289)</formula>
    </cfRule>
    <cfRule type="duplicateValues" dxfId="421" priority="16"/>
  </conditionalFormatting>
  <conditionalFormatting sqref="C289:C291">
    <cfRule type="expression" dxfId="420" priority="13">
      <formula>_xlfn.ISFORMULA(C289)</formula>
    </cfRule>
    <cfRule type="duplicateValues" dxfId="419" priority="14"/>
  </conditionalFormatting>
  <conditionalFormatting sqref="B338">
    <cfRule type="expression" dxfId="418" priority="11">
      <formula>_xlfn.ISFORMULA(B338)</formula>
    </cfRule>
    <cfRule type="duplicateValues" dxfId="417" priority="12"/>
  </conditionalFormatting>
  <conditionalFormatting sqref="B351">
    <cfRule type="expression" dxfId="416" priority="3">
      <formula>_xlfn.ISFORMULA(B351)</formula>
    </cfRule>
    <cfRule type="duplicateValues" dxfId="415" priority="4"/>
  </conditionalFormatting>
  <conditionalFormatting sqref="B346">
    <cfRule type="expression" dxfId="414" priority="1">
      <formula>_xlfn.ISFORMULA(B346)</formula>
    </cfRule>
    <cfRule type="duplicateValues" dxfId="413" priority="2"/>
  </conditionalFormatting>
  <pageMargins left="0.7" right="0.7" top="0.78740157499999996" bottom="0.78740157499999996" header="0.3" footer="0.3"/>
  <legacyDrawing r:id="rId1"/>
  <tableParts count="2">
    <tablePart r:id="rId2"/>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0EA41-7D8B-412D-9B8A-028FB344CA93}">
  <sheetPr codeName="TabTutorial">
    <tabColor theme="9"/>
  </sheetPr>
  <dimension ref="B1:K23"/>
  <sheetViews>
    <sheetView showGridLines="0" zoomScale="85" zoomScaleNormal="85" workbookViewId="0">
      <selection activeCell="E17" sqref="E17"/>
    </sheetView>
  </sheetViews>
  <sheetFormatPr baseColWidth="10" defaultColWidth="11.42578125" defaultRowHeight="12.75"/>
  <cols>
    <col min="1" max="1" width="2.7109375" style="5" customWidth="1"/>
    <col min="2" max="3" width="15.7109375" style="4" customWidth="1"/>
    <col min="4" max="4" width="100.7109375" style="4" customWidth="1"/>
    <col min="5" max="5" width="15.7109375" style="4" customWidth="1"/>
    <col min="6" max="6" width="100.7109375" style="5" customWidth="1"/>
    <col min="7" max="11" width="15.7109375" style="4" customWidth="1"/>
    <col min="12" max="16384" width="11.42578125" style="5"/>
  </cols>
  <sheetData>
    <row r="1" spans="2:11">
      <c r="B1" s="451" cm="1">
        <f t="array" ref="B1">SUM(LEN(Tutorial[]))</f>
        <v>34699</v>
      </c>
      <c r="C1" s="452">
        <f>B1/1600</f>
        <v>21.686875000000001</v>
      </c>
    </row>
    <row r="3" spans="2:11">
      <c r="B3" s="6" t="s">
        <v>1377</v>
      </c>
      <c r="C3" s="456" t="s">
        <v>360</v>
      </c>
      <c r="D3" s="6" t="s">
        <v>361</v>
      </c>
      <c r="E3" s="456" t="s">
        <v>362</v>
      </c>
      <c r="F3" s="19" t="s">
        <v>363</v>
      </c>
      <c r="G3" s="6" t="s">
        <v>367</v>
      </c>
      <c r="H3" s="6" t="s">
        <v>368</v>
      </c>
      <c r="I3" s="6" t="s">
        <v>366</v>
      </c>
      <c r="J3" s="6" t="s">
        <v>369</v>
      </c>
      <c r="K3" s="6" t="s">
        <v>1366</v>
      </c>
    </row>
    <row r="4" spans="2:11" ht="114.75">
      <c r="B4" s="6"/>
      <c r="C4" s="456" t="str">
        <f>Tutorial[[#This Row],[Category EN]]</f>
        <v>Welcome!</v>
      </c>
      <c r="D4" s="449" t="s">
        <v>2091</v>
      </c>
      <c r="E4" s="456" t="str">
        <f>Tutorial[[#This Row],[Category DE]]</f>
        <v>Herzlich willkommen!</v>
      </c>
      <c r="F4" s="449" t="s">
        <v>2239</v>
      </c>
      <c r="G4" s="6" t="s">
        <v>2036</v>
      </c>
      <c r="H4" s="6"/>
      <c r="I4" s="6" t="s">
        <v>2378</v>
      </c>
      <c r="J4" s="6"/>
      <c r="K4" s="6"/>
    </row>
    <row r="5" spans="2:11" ht="140.25">
      <c r="B5" s="6"/>
      <c r="C5" s="456" t="str">
        <f>Tutorial[[#This Row],[Category EN]]</f>
        <v>Basics</v>
      </c>
      <c r="D5" s="449" t="s">
        <v>2092</v>
      </c>
      <c r="E5" s="456" t="str">
        <f>Tutorial[[#This Row],[Category DE]]</f>
        <v>Grundlegendes</v>
      </c>
      <c r="F5" s="449" t="s">
        <v>1912</v>
      </c>
      <c r="G5" s="6" t="s">
        <v>2035</v>
      </c>
      <c r="H5" s="6"/>
      <c r="I5" s="6" t="s">
        <v>1801</v>
      </c>
      <c r="J5" s="6"/>
      <c r="K5" s="6"/>
    </row>
    <row r="6" spans="2:11" ht="178.5">
      <c r="B6" s="6"/>
      <c r="C6" s="456" t="str">
        <f>Tutorial[[#This Row],[Category EN]]</f>
        <v>Output</v>
      </c>
      <c r="D6" s="449" t="s">
        <v>2346</v>
      </c>
      <c r="E6" s="456" t="str">
        <f>Tutorial[[#This Row],[Category DE]]</f>
        <v>Output</v>
      </c>
      <c r="F6" s="449" t="s">
        <v>2043</v>
      </c>
      <c r="G6" s="6" t="s">
        <v>1536</v>
      </c>
      <c r="H6" s="6"/>
      <c r="I6" s="6" t="s">
        <v>1536</v>
      </c>
      <c r="J6" s="6"/>
      <c r="K6" s="6"/>
    </row>
    <row r="7" spans="2:11" ht="267.75">
      <c r="B7" s="6"/>
      <c r="C7" s="456" t="str">
        <f>Tutorial[[#This Row],[Category EN]]</f>
        <v>First Steps</v>
      </c>
      <c r="D7" s="449" t="s">
        <v>2093</v>
      </c>
      <c r="E7" s="456" t="str">
        <f>Tutorial[[#This Row],[Category DE]]</f>
        <v>Erste Schritte</v>
      </c>
      <c r="F7" s="449" t="s">
        <v>2042</v>
      </c>
      <c r="G7" s="6" t="s">
        <v>2027</v>
      </c>
      <c r="H7" s="6"/>
      <c r="I7" s="6" t="s">
        <v>1803</v>
      </c>
      <c r="J7" s="6"/>
      <c r="K7" s="6"/>
    </row>
    <row r="8" spans="2:11" ht="102">
      <c r="B8" s="6"/>
      <c r="C8" s="456" t="str">
        <f>Tutorial[[#This Row],[Category EN]]</f>
        <v>The AWS Toolbox</v>
      </c>
      <c r="D8" s="449" t="s">
        <v>2094</v>
      </c>
      <c r="E8" s="456" t="str">
        <f>Tutorial[[#This Row],[Category DE]]</f>
        <v>Die AWS Toolbox</v>
      </c>
      <c r="F8" s="449" t="s">
        <v>1969</v>
      </c>
      <c r="G8" s="6" t="s">
        <v>2028</v>
      </c>
      <c r="H8" s="6"/>
      <c r="I8" s="6" t="s">
        <v>1916</v>
      </c>
      <c r="J8" s="6"/>
      <c r="K8" s="457" t="s">
        <v>1963</v>
      </c>
    </row>
    <row r="9" spans="2:11" ht="178.5">
      <c r="B9" s="6"/>
      <c r="C9" s="456" t="str">
        <f>Tutorial[[#This Row],[Category EN]]</f>
        <v>Version Control</v>
      </c>
      <c r="D9" s="449" t="s">
        <v>2095</v>
      </c>
      <c r="E9" s="456" t="str">
        <f>Tutorial[[#This Row],[Category DE]]</f>
        <v>Versionskontrolle</v>
      </c>
      <c r="F9" s="449" t="s">
        <v>2001</v>
      </c>
      <c r="G9" s="6" t="s">
        <v>2029</v>
      </c>
      <c r="H9" s="6"/>
      <c r="I9" s="6" t="s">
        <v>1917</v>
      </c>
      <c r="J9" s="6"/>
      <c r="K9" s="457" t="s">
        <v>1921</v>
      </c>
    </row>
    <row r="10" spans="2:11" ht="153">
      <c r="B10" s="6"/>
      <c r="C10" s="456" t="str">
        <f>Tutorial[[#This Row],[Category EN]]</f>
        <v>Language</v>
      </c>
      <c r="D10" s="449" t="s">
        <v>2096</v>
      </c>
      <c r="E10" s="456" t="str">
        <f>Tutorial[[#This Row],[Category DE]]</f>
        <v>Sprache</v>
      </c>
      <c r="F10" s="449" t="s">
        <v>1923</v>
      </c>
      <c r="G10" s="6" t="s">
        <v>182</v>
      </c>
      <c r="H10" s="6"/>
      <c r="I10" s="6" t="s">
        <v>1918</v>
      </c>
      <c r="J10" s="6"/>
      <c r="K10" s="6"/>
    </row>
    <row r="11" spans="2:11" ht="140.25">
      <c r="B11" s="6"/>
      <c r="C11" s="456" t="str">
        <f>Tutorial[[#This Row],[Category EN]]</f>
        <v>Online/Offline</v>
      </c>
      <c r="D11" s="449" t="s">
        <v>2097</v>
      </c>
      <c r="E11" s="456" t="str">
        <f>Tutorial[[#This Row],[Category DE]]</f>
        <v>Online/Offline</v>
      </c>
      <c r="F11" s="449" t="s">
        <v>1922</v>
      </c>
      <c r="G11" s="6" t="s">
        <v>1920</v>
      </c>
      <c r="H11" s="6"/>
      <c r="I11" s="6" t="s">
        <v>1920</v>
      </c>
      <c r="J11" s="6"/>
      <c r="K11" s="6"/>
    </row>
    <row r="12" spans="2:11" ht="89.25">
      <c r="B12" s="6"/>
      <c r="C12" s="456" t="str">
        <f>Tutorial[[#This Row],[Category EN]]</f>
        <v>Project template</v>
      </c>
      <c r="D12" s="449" t="str">
        <f>Documentation!D387</f>
        <v>The project manager has the possibility to create a specific project template at the beginning of a project and to make it available to the employees involved in the project.
Such a template can be used to integrate project-specific databases (column MHR etc.) or to control access to specific add-ins (column ACT-X etc.).
Please note: Unless otherwise specified by the project manager, the standard template 'Default' is to be used!</v>
      </c>
      <c r="E12" s="456" t="str">
        <f>Tutorial[[#This Row],[Category DE]]</f>
        <v>Projektvorlage</v>
      </c>
      <c r="F12" s="449" t="str">
        <f>Documentation!F387</f>
        <v>Der Projektleiter hat die Möglichkeit zu Beginn eines Projektes eine spezifische Projektvorlage anzulegen und den am Projekt beteiligten Mitarbeitern zur Verfügung zu stellen.
Über eine solche Vorlage können beispielsweise projektspezifische Datenbanken (Spalte MHR etc.) eingebunden oder der Zugriff auf bestimmte Addins (Spalte ACT-X etc.) gesteuert werden.
Achtung: Soweit durch den Projektleiter nicht anders kommuniziert, ist immer die Standardvorlage 'Default' zu verwenden!</v>
      </c>
      <c r="G12" s="6" t="s">
        <v>2030</v>
      </c>
      <c r="H12" s="6"/>
      <c r="I12" s="6" t="s">
        <v>1919</v>
      </c>
      <c r="J12" s="6"/>
      <c r="K12" s="6"/>
    </row>
    <row r="13" spans="2:11" ht="178.5">
      <c r="B13" s="6"/>
      <c r="C13" s="456" t="str">
        <f>Tutorial[[#This Row],[Category EN]]</f>
        <v>Addins and Modules</v>
      </c>
      <c r="D13" s="449" t="s">
        <v>2098</v>
      </c>
      <c r="E13" s="456" t="str">
        <f>Tutorial[[#This Row],[Category DE]]</f>
        <v>Addins und Module</v>
      </c>
      <c r="F13" s="449" t="s">
        <v>2016</v>
      </c>
      <c r="G13" s="6" t="s">
        <v>2031</v>
      </c>
      <c r="H13" s="6"/>
      <c r="I13" s="6" t="s">
        <v>2014</v>
      </c>
      <c r="J13" s="6"/>
      <c r="K13" s="6"/>
    </row>
    <row r="14" spans="2:11" ht="127.5">
      <c r="B14" s="6" t="s">
        <v>1376</v>
      </c>
      <c r="C14" s="456" t="str">
        <f>Tutorial[[#This Row],[Category EN]]</f>
        <v>Premises: Suppliers</v>
      </c>
      <c r="D14" s="449" t="s">
        <v>2241</v>
      </c>
      <c r="E14" s="456" t="str">
        <f>Tutorial[[#This Row],[Category DE]]</f>
        <v>Prämissen: Lieferanten</v>
      </c>
      <c r="F14" s="449" t="s">
        <v>2240</v>
      </c>
      <c r="G14" s="6" t="s">
        <v>2046</v>
      </c>
      <c r="H14" s="6"/>
      <c r="I14" s="6" t="s">
        <v>2044</v>
      </c>
      <c r="J14" s="6"/>
      <c r="K14" s="6"/>
    </row>
    <row r="15" spans="2:11" ht="204">
      <c r="B15" s="6" t="s">
        <v>1376</v>
      </c>
      <c r="C15" s="456" t="str">
        <f>Tutorial[[#This Row],[Category EN]]</f>
        <v>Premises: Overheads</v>
      </c>
      <c r="D15" s="449" t="s">
        <v>2099</v>
      </c>
      <c r="E15" s="456" t="str">
        <f>Tutorial[[#This Row],[Category DE]]</f>
        <v>Prämissen: Overheads</v>
      </c>
      <c r="F15" s="449" t="s">
        <v>2238</v>
      </c>
      <c r="G15" s="6" t="s">
        <v>2047</v>
      </c>
      <c r="H15" s="6"/>
      <c r="I15" s="6" t="s">
        <v>2045</v>
      </c>
      <c r="J15" s="6"/>
      <c r="K15" s="457" t="s">
        <v>1968</v>
      </c>
    </row>
    <row r="16" spans="2:11" ht="165.75">
      <c r="B16" s="6" t="s">
        <v>816</v>
      </c>
      <c r="C16" s="456" t="str">
        <f>Tutorial[[#This Row],[Category EN]]</f>
        <v>BOM</v>
      </c>
      <c r="D16" s="449" t="s">
        <v>2100</v>
      </c>
      <c r="E16" s="456" t="str">
        <f>Tutorial[[#This Row],[Category DE]]</f>
        <v>BOM</v>
      </c>
      <c r="F16" s="449" t="s">
        <v>1993</v>
      </c>
      <c r="G16" s="6" t="s">
        <v>816</v>
      </c>
      <c r="H16" s="6"/>
      <c r="I16" s="6" t="s">
        <v>816</v>
      </c>
      <c r="J16" s="6"/>
      <c r="K16" s="6"/>
    </row>
    <row r="17" spans="2:11" ht="204">
      <c r="B17" s="6"/>
      <c r="C17" s="456" t="str">
        <f>Tutorial[[#This Row],[Category EN]]</f>
        <v>Picture catalog</v>
      </c>
      <c r="D17" s="449" t="s">
        <v>2101</v>
      </c>
      <c r="E17" s="456" t="str">
        <f>Tutorial[[#This Row],[Category DE]]</f>
        <v>Bilderkatalog</v>
      </c>
      <c r="F17" s="449" t="s">
        <v>1996</v>
      </c>
      <c r="G17" s="6" t="s">
        <v>2106</v>
      </c>
      <c r="H17" s="6"/>
      <c r="I17" s="6" t="s">
        <v>1967</v>
      </c>
      <c r="J17" s="6"/>
      <c r="K17" s="6"/>
    </row>
    <row r="18" spans="2:11" ht="204">
      <c r="B18" s="6"/>
      <c r="C18" s="456" t="str">
        <f>Tutorial[[#This Row],[Category EN]]</f>
        <v>Transfer</v>
      </c>
      <c r="D18" s="449" t="s">
        <v>2102</v>
      </c>
      <c r="E18" s="456" t="str">
        <f>Tutorial[[#This Row],[Category DE]]</f>
        <v>Übertrag</v>
      </c>
      <c r="F18" s="449" t="s">
        <v>1966</v>
      </c>
      <c r="G18" s="6" t="s">
        <v>2032</v>
      </c>
      <c r="H18" s="6"/>
      <c r="I18" s="6" t="s">
        <v>1812</v>
      </c>
      <c r="J18" s="6"/>
      <c r="K18" s="6"/>
    </row>
    <row r="19" spans="2:11" ht="216.75">
      <c r="B19" s="6" t="s">
        <v>749</v>
      </c>
      <c r="C19" s="456" t="str">
        <f>Tutorial[[#This Row],[Category EN]]</f>
        <v>Calculation (1 of 2)</v>
      </c>
      <c r="D19" s="449" t="s">
        <v>2103</v>
      </c>
      <c r="E19" s="456" t="str">
        <f>Tutorial[[#This Row],[Category DE]]</f>
        <v>Kalkulation (1 von 2)</v>
      </c>
      <c r="F19" s="449" t="s">
        <v>2002</v>
      </c>
      <c r="G19" s="6" t="s">
        <v>2033</v>
      </c>
      <c r="H19" s="6"/>
      <c r="I19" s="6" t="s">
        <v>2008</v>
      </c>
      <c r="J19" s="6"/>
      <c r="K19" s="6"/>
    </row>
    <row r="20" spans="2:11" ht="178.5">
      <c r="B20" s="6" t="s">
        <v>749</v>
      </c>
      <c r="C20" s="456" t="str">
        <f>Tutorial[[#This Row],[Category EN]]</f>
        <v>Calculation (2 of 2)</v>
      </c>
      <c r="D20" s="449" t="s">
        <v>2104</v>
      </c>
      <c r="E20" s="456" t="str">
        <f>Tutorial[[#This Row],[Category DE]]</f>
        <v>Kalkulation (2 von 2)</v>
      </c>
      <c r="F20" s="449" t="s">
        <v>2009</v>
      </c>
      <c r="G20" s="6" t="s">
        <v>2034</v>
      </c>
      <c r="H20" s="6"/>
      <c r="I20" s="6" t="s">
        <v>2007</v>
      </c>
      <c r="J20" s="6"/>
      <c r="K20" s="6"/>
    </row>
    <row r="21" spans="2:11" ht="216.75">
      <c r="B21" s="6"/>
      <c r="C21" s="456" t="str">
        <f>Tutorial[[#This Row],[Category EN]]</f>
        <v>Check</v>
      </c>
      <c r="D21" s="449" t="s">
        <v>2105</v>
      </c>
      <c r="E21" s="456" t="str">
        <f>Tutorial[[#This Row],[Category DE]]</f>
        <v>Überprüfung</v>
      </c>
      <c r="F21" s="449" t="s">
        <v>1965</v>
      </c>
      <c r="G21" s="6" t="s">
        <v>744</v>
      </c>
      <c r="H21" s="6"/>
      <c r="I21" s="6" t="s">
        <v>1964</v>
      </c>
      <c r="J21" s="6"/>
      <c r="K21" s="6"/>
    </row>
    <row r="22" spans="2:11" ht="102">
      <c r="B22" s="6"/>
      <c r="C22" s="456" t="str">
        <f>Tutorial[[#This Row],[Category EN]]</f>
        <v>CO₂ emissions (1 of 2)</v>
      </c>
      <c r="D22" s="449" t="s">
        <v>2343</v>
      </c>
      <c r="E22" s="456" t="str">
        <f>Tutorial[[#This Row],[Category DE]]</f>
        <v>CO₂-Emissionen (1 von 2)</v>
      </c>
      <c r="F22" s="449" t="s">
        <v>2342</v>
      </c>
      <c r="G22" s="6" t="s">
        <v>2338</v>
      </c>
      <c r="H22" s="6"/>
      <c r="I22" s="6" t="s">
        <v>2340</v>
      </c>
      <c r="J22" s="6"/>
      <c r="K22" s="6"/>
    </row>
    <row r="23" spans="2:11" ht="140.25">
      <c r="B23" s="6"/>
      <c r="C23" s="456" t="str">
        <f>Tutorial[[#This Row],[Category EN]]</f>
        <v>CO₂ emissions (2 of 2)</v>
      </c>
      <c r="D23" s="449" t="s">
        <v>2345</v>
      </c>
      <c r="E23" s="456" t="str">
        <f>Tutorial[[#This Row],[Category DE]]</f>
        <v>CO₂-Emissionen (2 von 2)</v>
      </c>
      <c r="F23" s="449" t="s">
        <v>2344</v>
      </c>
      <c r="G23" s="6" t="s">
        <v>2339</v>
      </c>
      <c r="H23" s="6"/>
      <c r="I23" s="6" t="s">
        <v>2341</v>
      </c>
      <c r="J23" s="6"/>
      <c r="K23" s="6"/>
    </row>
  </sheetData>
  <conditionalFormatting sqref="B3:J3 B21:J21 C4:J11 C12:E12 G12:J12 B14:B15 C13:J20">
    <cfRule type="expression" dxfId="405" priority="6">
      <formula>_xlfn.ISFORMULA(B3)</formula>
    </cfRule>
  </conditionalFormatting>
  <conditionalFormatting sqref="B16:B20">
    <cfRule type="expression" dxfId="404" priority="3">
      <formula>_xlfn.ISFORMULA(B16)</formula>
    </cfRule>
  </conditionalFormatting>
  <conditionalFormatting sqref="F12">
    <cfRule type="expression" dxfId="403" priority="1">
      <formula>_xlfn.ISFORMULA(F12)</formula>
    </cfRule>
  </conditionalFormatting>
  <hyperlinks>
    <hyperlink ref="K8" r:id="rId1" xr:uid="{5C5F39DC-C5E9-48AC-B1A8-DA71101332AF}"/>
    <hyperlink ref="K9" r:id="rId2" xr:uid="{62256AF8-B04E-4B35-BD52-17E1CA2B6791}"/>
    <hyperlink ref="K15" r:id="rId3" xr:uid="{EF9980E3-0F97-4D4E-9D7C-0F2F27A33390}"/>
  </hyperlinks>
  <pageMargins left="0.7" right="0.7" top="0.78740157499999996" bottom="0.78740157499999996" header="0.3" footer="0.3"/>
  <tableParts count="1">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C0AFC-1FBC-49A3-BD73-D5AFC09616A1}">
  <sheetPr codeName="TabXML">
    <tabColor theme="9"/>
  </sheetPr>
  <dimension ref="B1:M189"/>
  <sheetViews>
    <sheetView showGridLines="0" workbookViewId="0">
      <pane ySplit="3" topLeftCell="A45" activePane="bottomLeft" state="frozen"/>
      <selection activeCell="B2" sqref="B2:AX2"/>
      <selection pane="bottomLeft" activeCell="B2" sqref="B2:AX2"/>
    </sheetView>
  </sheetViews>
  <sheetFormatPr baseColWidth="10" defaultColWidth="11.42578125" defaultRowHeight="12.75"/>
  <cols>
    <col min="1" max="1" width="2.7109375" style="4" customWidth="1"/>
    <col min="2" max="2" width="16.42578125" style="4" customWidth="1"/>
    <col min="3" max="6" width="20.7109375" style="4" customWidth="1"/>
    <col min="7" max="7" width="50.7109375" style="4" customWidth="1"/>
    <col min="8" max="8" width="20.7109375" style="4" customWidth="1"/>
    <col min="9" max="9" width="50.7109375" style="4" customWidth="1"/>
    <col min="10" max="10" width="10.7109375" style="4" customWidth="1"/>
    <col min="11" max="11" width="11.42578125" style="4"/>
    <col min="12" max="12" width="2.7109375" style="4" customWidth="1"/>
    <col min="13" max="13" width="14.140625" style="453" bestFit="1" customWidth="1"/>
    <col min="14" max="16384" width="11.42578125" style="4"/>
  </cols>
  <sheetData>
    <row r="1" spans="2:13">
      <c r="B1" s="451" cm="1">
        <f t="array" ref="B1">SUM(LEN(XML[]))</f>
        <v>39319</v>
      </c>
      <c r="C1" s="452">
        <f>B1/1600</f>
        <v>24.574375</v>
      </c>
    </row>
    <row r="2" spans="2:13" s="454" customFormat="1">
      <c r="M2" s="455"/>
    </row>
    <row r="3" spans="2:13">
      <c r="B3" s="6" t="s">
        <v>148</v>
      </c>
      <c r="C3" s="6" t="s">
        <v>713</v>
      </c>
      <c r="D3" s="6" t="s">
        <v>711</v>
      </c>
      <c r="E3" s="6" t="s">
        <v>712</v>
      </c>
      <c r="F3" s="6" t="s">
        <v>714</v>
      </c>
      <c r="G3" s="6" t="s">
        <v>716</v>
      </c>
      <c r="H3" s="6" t="s">
        <v>715</v>
      </c>
      <c r="I3" s="6" t="s">
        <v>717</v>
      </c>
      <c r="J3" s="6" t="s">
        <v>720</v>
      </c>
      <c r="K3" s="6" t="s">
        <v>721</v>
      </c>
    </row>
    <row r="4" spans="2:13">
      <c r="B4" s="253" t="s">
        <v>719</v>
      </c>
      <c r="C4" s="6"/>
      <c r="D4" s="6"/>
      <c r="E4" s="6"/>
      <c r="F4" s="6"/>
      <c r="G4" s="6"/>
      <c r="H4" s="6"/>
      <c r="I4" s="6"/>
      <c r="J4" s="6">
        <v>1</v>
      </c>
      <c r="K4" s="6">
        <v>1</v>
      </c>
      <c r="M4" s="453" t="s">
        <v>1798</v>
      </c>
    </row>
    <row r="5" spans="2:13" ht="25.5">
      <c r="B5" s="6" t="s">
        <v>1104</v>
      </c>
      <c r="C5" s="6"/>
      <c r="D5" s="6" t="s">
        <v>249</v>
      </c>
      <c r="E5" s="6" t="s">
        <v>249</v>
      </c>
      <c r="F5" s="6" t="s">
        <v>249</v>
      </c>
      <c r="G5" s="6" t="str">
        <f>G6</f>
        <v>In online mode, the add-ins, databases and program scripts stored in the server are used.</v>
      </c>
      <c r="H5" s="6" t="s">
        <v>249</v>
      </c>
      <c r="I5" s="6" t="str">
        <f>I6</f>
        <v>Im Onlinemodus werden die auf dem Server hinterlegten Addins, Datenbanken und Routinen verwendet.</v>
      </c>
      <c r="J5" s="6">
        <v>0</v>
      </c>
      <c r="K5" s="6">
        <v>0</v>
      </c>
    </row>
    <row r="6" spans="2:13" ht="25.5">
      <c r="B6" s="6" t="s">
        <v>1107</v>
      </c>
      <c r="C6" s="6"/>
      <c r="D6" s="6" t="s">
        <v>1112</v>
      </c>
      <c r="E6" s="6" t="s">
        <v>1111</v>
      </c>
      <c r="F6" s="6" t="s">
        <v>1112</v>
      </c>
      <c r="G6" s="6" t="s">
        <v>1824</v>
      </c>
      <c r="H6" s="6" t="s">
        <v>1111</v>
      </c>
      <c r="I6" s="6" t="s">
        <v>1238</v>
      </c>
      <c r="J6" s="6">
        <v>0</v>
      </c>
      <c r="K6" s="6">
        <v>0</v>
      </c>
    </row>
    <row r="7" spans="2:13" ht="63.75">
      <c r="B7" s="6" t="s">
        <v>1106</v>
      </c>
      <c r="C7" s="6"/>
      <c r="D7" s="6" t="s">
        <v>1114</v>
      </c>
      <c r="E7" s="6" t="s">
        <v>1110</v>
      </c>
      <c r="F7" s="6" t="s">
        <v>1114</v>
      </c>
      <c r="G7" s="6" t="s">
        <v>1800</v>
      </c>
      <c r="H7" s="6" t="s">
        <v>1110</v>
      </c>
      <c r="I7" s="6" t="s">
        <v>1799</v>
      </c>
      <c r="J7" s="6">
        <v>0</v>
      </c>
      <c r="K7" s="6">
        <v>0</v>
      </c>
    </row>
    <row r="8" spans="2:13" ht="63.75">
      <c r="B8" s="6" t="s">
        <v>1105</v>
      </c>
      <c r="C8" s="6"/>
      <c r="D8" s="6" t="s">
        <v>1115</v>
      </c>
      <c r="E8" s="6" t="s">
        <v>1115</v>
      </c>
      <c r="F8" s="6" t="s">
        <v>1115</v>
      </c>
      <c r="G8" s="6" t="str">
        <f>G10</f>
        <v>In offline mode, the locally stored addins, databases and program scripts are used.
Please consider synchronising the locally stored data via the menu [Start - AWS - Toolbox - Sync] beforehand.</v>
      </c>
      <c r="H8" s="6" t="s">
        <v>1115</v>
      </c>
      <c r="I8" s="6" t="str">
        <f>I10</f>
        <v>Im Offlinemodus werden die lokal hinterlegten Addins, Datenbanken und Routinen verwendet.
Bitte die lokalen Daten bei Bedarf über das Menü [Start - AWS - Toolbox - Sync] zuvor eigenständig synchronisieren.</v>
      </c>
      <c r="J8" s="6">
        <f t="shared" ref="J8:K10" si="0">J5</f>
        <v>0</v>
      </c>
      <c r="K8" s="6">
        <f t="shared" si="0"/>
        <v>0</v>
      </c>
    </row>
    <row r="9" spans="2:13" ht="25.5">
      <c r="B9" s="6" t="s">
        <v>1108</v>
      </c>
      <c r="C9" s="6"/>
      <c r="D9" s="6" t="str">
        <f t="shared" ref="D9:I10" si="1">D6</f>
        <v>Work online</v>
      </c>
      <c r="E9" s="6" t="str">
        <f t="shared" si="1"/>
        <v>Online arbeiten</v>
      </c>
      <c r="F9" s="6" t="str">
        <f t="shared" si="1"/>
        <v>Work online</v>
      </c>
      <c r="G9" s="6" t="str">
        <f t="shared" si="1"/>
        <v>In online mode, the add-ins, databases and program scripts stored in the server are used.</v>
      </c>
      <c r="H9" s="6" t="str">
        <f t="shared" si="1"/>
        <v>Online arbeiten</v>
      </c>
      <c r="I9" s="6" t="str">
        <f t="shared" si="1"/>
        <v>Im Onlinemodus werden die auf dem Server hinterlegten Addins, Datenbanken und Routinen verwendet.</v>
      </c>
      <c r="J9" s="6">
        <f t="shared" si="0"/>
        <v>0</v>
      </c>
      <c r="K9" s="6">
        <f t="shared" si="0"/>
        <v>0</v>
      </c>
    </row>
    <row r="10" spans="2:13" ht="63.75">
      <c r="B10" s="6" t="s">
        <v>1109</v>
      </c>
      <c r="C10" s="6"/>
      <c r="D10" s="6" t="str">
        <f t="shared" si="1"/>
        <v>Work offline</v>
      </c>
      <c r="E10" s="6" t="str">
        <f t="shared" si="1"/>
        <v>Offline arbeiten</v>
      </c>
      <c r="F10" s="6" t="str">
        <f t="shared" si="1"/>
        <v>Work offline</v>
      </c>
      <c r="G10" s="6" t="str">
        <f t="shared" si="1"/>
        <v>In offline mode, the locally stored addins, databases and program scripts are used.
Please consider synchronising the locally stored data via the menu [Start - AWS - Toolbox - Sync] beforehand.</v>
      </c>
      <c r="H10" s="6" t="str">
        <f t="shared" si="1"/>
        <v>Offline arbeiten</v>
      </c>
      <c r="I10" s="6" t="str">
        <f t="shared" si="1"/>
        <v>Im Offlinemodus werden die lokal hinterlegten Addins, Datenbanken und Routinen verwendet.
Bitte die lokalen Daten bei Bedarf über das Menü [Start - AWS - Toolbox - Sync] zuvor eigenständig synchronisieren.</v>
      </c>
      <c r="J10" s="6">
        <f t="shared" si="0"/>
        <v>0</v>
      </c>
      <c r="K10" s="6">
        <f t="shared" si="0"/>
        <v>0</v>
      </c>
    </row>
    <row r="11" spans="2:13">
      <c r="B11" s="6" t="s">
        <v>804</v>
      </c>
      <c r="C11" s="6"/>
      <c r="D11" s="6"/>
      <c r="E11" s="6"/>
      <c r="F11" s="6"/>
      <c r="G11" s="6"/>
      <c r="H11" s="6"/>
      <c r="I11" s="6"/>
      <c r="J11" s="6">
        <v>0</v>
      </c>
      <c r="K11" s="6">
        <v>0</v>
      </c>
    </row>
    <row r="12" spans="2:13" ht="51">
      <c r="B12" s="6" t="s">
        <v>718</v>
      </c>
      <c r="C12" s="6" t="s">
        <v>772</v>
      </c>
      <c r="D12" s="6"/>
      <c r="E12" s="6"/>
      <c r="F12" s="6" t="s">
        <v>963</v>
      </c>
      <c r="G12" s="6" t="s">
        <v>1826</v>
      </c>
      <c r="H12" s="6" t="s">
        <v>722</v>
      </c>
      <c r="I12" s="6" t="s">
        <v>1825</v>
      </c>
      <c r="J12" s="6">
        <v>0</v>
      </c>
      <c r="K12" s="6">
        <v>0</v>
      </c>
    </row>
    <row r="13" spans="2:13" ht="102">
      <c r="B13" s="253" t="s">
        <v>2268</v>
      </c>
      <c r="C13" s="6"/>
      <c r="D13" s="6" t="s">
        <v>251</v>
      </c>
      <c r="E13" s="6" t="s">
        <v>251</v>
      </c>
      <c r="F13" s="6" t="s">
        <v>2017</v>
      </c>
      <c r="G13" s="6" t="s">
        <v>2018</v>
      </c>
      <c r="H13" s="6" t="s">
        <v>2014</v>
      </c>
      <c r="I13" s="6" t="s">
        <v>2015</v>
      </c>
      <c r="J13" s="6">
        <v>0</v>
      </c>
      <c r="K13" s="6">
        <v>0</v>
      </c>
    </row>
    <row r="14" spans="2:13">
      <c r="B14" s="6" t="s">
        <v>2010</v>
      </c>
      <c r="C14" s="6"/>
      <c r="D14" s="6" t="s">
        <v>800</v>
      </c>
      <c r="E14" s="6" t="s">
        <v>800</v>
      </c>
      <c r="F14" s="6" t="s">
        <v>842</v>
      </c>
      <c r="G14" s="6" t="s">
        <v>2021</v>
      </c>
      <c r="H14" s="6" t="s">
        <v>842</v>
      </c>
      <c r="I14" s="6" t="s">
        <v>2019</v>
      </c>
      <c r="J14" s="6">
        <v>0</v>
      </c>
      <c r="K14" s="6">
        <v>0</v>
      </c>
    </row>
    <row r="15" spans="2:13">
      <c r="B15" s="6" t="s">
        <v>2011</v>
      </c>
      <c r="C15" s="6"/>
      <c r="D15" s="6" t="s">
        <v>834</v>
      </c>
      <c r="E15" s="6" t="s">
        <v>834</v>
      </c>
      <c r="F15" s="6" t="s">
        <v>964</v>
      </c>
      <c r="G15" s="6" t="s">
        <v>2022</v>
      </c>
      <c r="H15" s="6" t="s">
        <v>841</v>
      </c>
      <c r="I15" s="6" t="s">
        <v>2020</v>
      </c>
      <c r="J15" s="6">
        <v>0</v>
      </c>
      <c r="K15" s="6">
        <v>0</v>
      </c>
    </row>
    <row r="16" spans="2:13">
      <c r="B16" s="6" t="s">
        <v>3801</v>
      </c>
      <c r="C16" s="6"/>
      <c r="D16" s="6" t="s">
        <v>3782</v>
      </c>
      <c r="E16" s="6" t="s">
        <v>3782</v>
      </c>
      <c r="F16" s="6" t="s">
        <v>3783</v>
      </c>
      <c r="G16" s="6" t="s">
        <v>3784</v>
      </c>
      <c r="H16" s="6" t="s">
        <v>3785</v>
      </c>
      <c r="I16" s="6" t="s">
        <v>3786</v>
      </c>
      <c r="J16" s="6">
        <v>1</v>
      </c>
      <c r="K16" s="6">
        <v>0</v>
      </c>
    </row>
    <row r="17" spans="2:13">
      <c r="B17" s="6" t="s">
        <v>3993</v>
      </c>
      <c r="C17" s="6" t="s">
        <v>3998</v>
      </c>
      <c r="D17" s="6" t="s">
        <v>3994</v>
      </c>
      <c r="E17" s="6" t="s">
        <v>3995</v>
      </c>
      <c r="F17" s="6" t="s">
        <v>3996</v>
      </c>
      <c r="G17" s="6" t="s">
        <v>3997</v>
      </c>
      <c r="H17" s="6"/>
      <c r="I17" s="6"/>
      <c r="J17" s="6">
        <v>1</v>
      </c>
      <c r="K17" s="6">
        <v>1</v>
      </c>
    </row>
    <row r="18" spans="2:13" ht="63.75">
      <c r="B18" s="253" t="s">
        <v>2253</v>
      </c>
      <c r="C18" s="6"/>
      <c r="D18" s="6" t="s">
        <v>2254</v>
      </c>
      <c r="E18" s="6" t="s">
        <v>2255</v>
      </c>
      <c r="F18" s="6" t="s">
        <v>2254</v>
      </c>
      <c r="G18" s="6" t="s">
        <v>2277</v>
      </c>
      <c r="H18" s="6" t="s">
        <v>2255</v>
      </c>
      <c r="I18" s="6" t="s">
        <v>2276</v>
      </c>
      <c r="J18" s="6">
        <v>0</v>
      </c>
      <c r="K18" s="6">
        <v>0</v>
      </c>
    </row>
    <row r="19" spans="2:13" ht="76.5">
      <c r="B19" s="253" t="s">
        <v>2265</v>
      </c>
      <c r="C19" s="6"/>
      <c r="D19" s="6" t="s">
        <v>834</v>
      </c>
      <c r="E19" s="6" t="s">
        <v>834</v>
      </c>
      <c r="F19" s="6" t="s">
        <v>2269</v>
      </c>
      <c r="G19" s="6" t="s">
        <v>2267</v>
      </c>
      <c r="H19" s="6" t="s">
        <v>2270</v>
      </c>
      <c r="I19" s="6" t="s">
        <v>2266</v>
      </c>
      <c r="J19" s="6">
        <v>0</v>
      </c>
      <c r="K19" s="6">
        <v>0</v>
      </c>
    </row>
    <row r="20" spans="2:13" ht="51">
      <c r="B20" s="6" t="s">
        <v>2263</v>
      </c>
      <c r="C20" s="6"/>
      <c r="D20" s="6" t="s">
        <v>2261</v>
      </c>
      <c r="E20" s="6" t="s">
        <v>1362</v>
      </c>
      <c r="F20" s="6" t="s">
        <v>2261</v>
      </c>
      <c r="G20" s="6" t="s">
        <v>2259</v>
      </c>
      <c r="H20" s="6" t="s">
        <v>1362</v>
      </c>
      <c r="I20" s="6" t="s">
        <v>2260</v>
      </c>
      <c r="J20" s="6">
        <v>0</v>
      </c>
      <c r="K20" s="6">
        <v>0</v>
      </c>
    </row>
    <row r="21" spans="2:13" ht="51">
      <c r="B21" s="6" t="s">
        <v>2264</v>
      </c>
      <c r="C21" s="6"/>
      <c r="D21" s="6" t="s">
        <v>2283</v>
      </c>
      <c r="E21" s="6" t="s">
        <v>2262</v>
      </c>
      <c r="F21" s="6" t="s">
        <v>2283</v>
      </c>
      <c r="G21" s="6" t="s">
        <v>2284</v>
      </c>
      <c r="H21" s="6" t="s">
        <v>2262</v>
      </c>
      <c r="I21" s="6" t="s">
        <v>2256</v>
      </c>
      <c r="J21" s="6">
        <v>0</v>
      </c>
      <c r="K21" s="6">
        <v>0</v>
      </c>
    </row>
    <row r="22" spans="2:13" ht="51">
      <c r="B22" s="6" t="s">
        <v>2257</v>
      </c>
      <c r="C22" s="6"/>
      <c r="D22" s="6" t="s">
        <v>2141</v>
      </c>
      <c r="E22" s="6" t="s">
        <v>2243</v>
      </c>
      <c r="F22" s="6" t="s">
        <v>2275</v>
      </c>
      <c r="G22" s="6" t="s">
        <v>2026</v>
      </c>
      <c r="H22" s="6" t="s">
        <v>2012</v>
      </c>
      <c r="I22" s="6" t="s">
        <v>2023</v>
      </c>
      <c r="J22" s="6">
        <v>0</v>
      </c>
      <c r="K22" s="6">
        <v>0</v>
      </c>
    </row>
    <row r="23" spans="2:13" ht="51">
      <c r="B23" s="6" t="s">
        <v>2258</v>
      </c>
      <c r="C23" s="6"/>
      <c r="D23" s="6" t="s">
        <v>2133</v>
      </c>
      <c r="E23" s="6" t="s">
        <v>202</v>
      </c>
      <c r="F23" s="6" t="s">
        <v>2274</v>
      </c>
      <c r="G23" s="6" t="s">
        <v>2248</v>
      </c>
      <c r="H23" s="6" t="s">
        <v>2247</v>
      </c>
      <c r="I23" s="6" t="s">
        <v>2249</v>
      </c>
      <c r="J23" s="6">
        <v>0</v>
      </c>
      <c r="K23" s="6">
        <v>0</v>
      </c>
    </row>
    <row r="24" spans="2:13">
      <c r="B24" s="6" t="s">
        <v>803</v>
      </c>
      <c r="C24" s="6"/>
      <c r="D24" s="6"/>
      <c r="E24" s="6"/>
      <c r="F24" s="6"/>
      <c r="G24" s="6"/>
      <c r="H24" s="6"/>
      <c r="I24" s="6"/>
      <c r="J24" s="6">
        <v>0</v>
      </c>
      <c r="K24" s="6">
        <v>0</v>
      </c>
    </row>
    <row r="25" spans="2:13">
      <c r="B25" s="253" t="s">
        <v>814</v>
      </c>
      <c r="C25" s="6"/>
      <c r="D25" s="6" t="s">
        <v>816</v>
      </c>
      <c r="E25" s="6" t="s">
        <v>816</v>
      </c>
      <c r="F25" s="6"/>
      <c r="G25" s="6"/>
      <c r="H25" s="6"/>
      <c r="I25" s="6"/>
      <c r="J25" s="6">
        <v>1</v>
      </c>
      <c r="K25" s="6">
        <v>1</v>
      </c>
      <c r="M25" s="453" t="s">
        <v>816</v>
      </c>
    </row>
    <row r="26" spans="2:13">
      <c r="B26" s="6" t="s">
        <v>1939</v>
      </c>
      <c r="C26" s="6"/>
      <c r="D26" s="6"/>
      <c r="E26" s="6"/>
      <c r="F26" s="6"/>
      <c r="G26" s="6"/>
      <c r="H26" s="6"/>
      <c r="I26" s="6"/>
      <c r="J26" s="6">
        <v>0</v>
      </c>
      <c r="K26" s="6">
        <v>0</v>
      </c>
    </row>
    <row r="27" spans="2:13">
      <c r="B27" s="6" t="s">
        <v>1938</v>
      </c>
      <c r="C27" s="6"/>
      <c r="D27" s="6"/>
      <c r="E27" s="6"/>
      <c r="F27" s="6"/>
      <c r="G27" s="6"/>
      <c r="H27" s="6"/>
      <c r="I27" s="6"/>
      <c r="J27" s="6">
        <v>0</v>
      </c>
      <c r="K27" s="6">
        <v>0</v>
      </c>
    </row>
    <row r="28" spans="2:13" ht="51">
      <c r="B28" s="6" t="s">
        <v>906</v>
      </c>
      <c r="C28" s="6"/>
      <c r="D28" s="6" t="s">
        <v>2086</v>
      </c>
      <c r="E28" s="6" t="s">
        <v>1812</v>
      </c>
      <c r="F28" s="6" t="s">
        <v>1947</v>
      </c>
      <c r="G28" s="6" t="s">
        <v>1949</v>
      </c>
      <c r="H28" s="6" t="s">
        <v>1946</v>
      </c>
      <c r="I28" s="6" t="s">
        <v>1948</v>
      </c>
      <c r="J28" s="6">
        <v>0</v>
      </c>
      <c r="K28" s="6">
        <v>0</v>
      </c>
    </row>
    <row r="29" spans="2:13" ht="51">
      <c r="B29" s="6" t="s">
        <v>908</v>
      </c>
      <c r="C29" s="6"/>
      <c r="D29" s="6" t="str">
        <f t="shared" ref="D29:K29" si="2">D28</f>
        <v>Transpose</v>
      </c>
      <c r="E29" s="6" t="str">
        <f t="shared" si="2"/>
        <v>Übertrag</v>
      </c>
      <c r="F29" s="6" t="str">
        <f t="shared" si="2"/>
        <v>Synchronize</v>
      </c>
      <c r="G29" s="6" t="str">
        <f t="shared" si="2"/>
        <v>Synchronizes the BOM and Calculation tabs.
Please note: Subsequent changes WITHIN a BOM row or calculation block are not applied!</v>
      </c>
      <c r="H29" s="6" t="str">
        <f t="shared" si="2"/>
        <v>Synchronisieren</v>
      </c>
      <c r="I29" s="6" t="str">
        <f t="shared" si="2"/>
        <v>Synchronisiert die Reiter BOM und Calculation.
Achtung: Nachträgliche Änderungen INNERHALB einer BOM-Zeile oder eines Kalkulationsblocks werden nicht übernommen!</v>
      </c>
      <c r="J29" s="6">
        <f t="shared" si="2"/>
        <v>0</v>
      </c>
      <c r="K29" s="6">
        <f t="shared" si="2"/>
        <v>0</v>
      </c>
    </row>
    <row r="30" spans="2:13" ht="38.25">
      <c r="B30" s="6" t="s">
        <v>907</v>
      </c>
      <c r="C30" s="6"/>
      <c r="D30" s="6" t="s">
        <v>2087</v>
      </c>
      <c r="E30" s="6" t="s">
        <v>1814</v>
      </c>
      <c r="F30" s="6" t="s">
        <v>2087</v>
      </c>
      <c r="G30" s="6" t="s">
        <v>1884</v>
      </c>
      <c r="H30" s="6" t="s">
        <v>1814</v>
      </c>
      <c r="I30" s="6" t="s">
        <v>1885</v>
      </c>
      <c r="J30" s="6">
        <v>0</v>
      </c>
      <c r="K30" s="6">
        <v>0</v>
      </c>
    </row>
    <row r="31" spans="2:13" ht="25.5">
      <c r="B31" s="6" t="s">
        <v>909</v>
      </c>
      <c r="C31" s="6"/>
      <c r="D31" s="6" t="s">
        <v>663</v>
      </c>
      <c r="E31" s="6" t="s">
        <v>663</v>
      </c>
      <c r="F31" s="6" t="s">
        <v>663</v>
      </c>
      <c r="G31" s="6" t="s">
        <v>1886</v>
      </c>
      <c r="H31" s="6" t="s">
        <v>663</v>
      </c>
      <c r="I31" s="6" t="s">
        <v>1887</v>
      </c>
      <c r="J31" s="6">
        <v>0</v>
      </c>
      <c r="K31" s="6">
        <v>0</v>
      </c>
    </row>
    <row r="32" spans="2:13">
      <c r="B32" s="6" t="s">
        <v>1941</v>
      </c>
      <c r="C32" s="6"/>
      <c r="D32" s="6"/>
      <c r="E32" s="6"/>
      <c r="F32" s="6"/>
      <c r="G32" s="6"/>
      <c r="H32" s="6"/>
      <c r="I32" s="6"/>
      <c r="J32" s="6">
        <f>J26</f>
        <v>0</v>
      </c>
      <c r="K32" s="6">
        <f>K26</f>
        <v>0</v>
      </c>
    </row>
    <row r="33" spans="2:11">
      <c r="B33" s="6" t="s">
        <v>1942</v>
      </c>
      <c r="C33" s="6"/>
      <c r="D33" s="6"/>
      <c r="E33" s="6"/>
      <c r="F33" s="6"/>
      <c r="G33" s="6"/>
      <c r="H33" s="6"/>
      <c r="I33" s="6"/>
      <c r="J33" s="6">
        <f>J27</f>
        <v>0</v>
      </c>
      <c r="K33" s="6">
        <f>K27</f>
        <v>0</v>
      </c>
    </row>
    <row r="34" spans="2:11" ht="51">
      <c r="B34" s="6" t="s">
        <v>1924</v>
      </c>
      <c r="C34" s="6"/>
      <c r="D34" s="6" t="str">
        <f>D28</f>
        <v>Transpose</v>
      </c>
      <c r="E34" s="6" t="str">
        <f t="shared" ref="E34:K34" si="3">E28</f>
        <v>Übertrag</v>
      </c>
      <c r="F34" s="6" t="str">
        <f t="shared" si="3"/>
        <v>Synchronize</v>
      </c>
      <c r="G34" s="6" t="str">
        <f t="shared" si="3"/>
        <v>Synchronizes the BOM and Calculation tabs.
Please note: Subsequent changes WITHIN a BOM row or calculation block are not applied!</v>
      </c>
      <c r="H34" s="6" t="str">
        <f t="shared" si="3"/>
        <v>Synchronisieren</v>
      </c>
      <c r="I34" s="6" t="str">
        <f t="shared" si="3"/>
        <v>Synchronisiert die Reiter BOM und Calculation.
Achtung: Nachträgliche Änderungen INNERHALB einer BOM-Zeile oder eines Kalkulationsblocks werden nicht übernommen!</v>
      </c>
      <c r="J34" s="6">
        <f t="shared" si="3"/>
        <v>0</v>
      </c>
      <c r="K34" s="6">
        <f t="shared" si="3"/>
        <v>0</v>
      </c>
    </row>
    <row r="35" spans="2:11" ht="51">
      <c r="B35" s="6" t="s">
        <v>1925</v>
      </c>
      <c r="C35" s="6"/>
      <c r="D35" s="6" t="str">
        <f t="shared" ref="D35:K35" si="4">D29</f>
        <v>Transpose</v>
      </c>
      <c r="E35" s="6" t="str">
        <f t="shared" si="4"/>
        <v>Übertrag</v>
      </c>
      <c r="F35" s="6" t="str">
        <f t="shared" si="4"/>
        <v>Synchronize</v>
      </c>
      <c r="G35" s="6" t="str">
        <f t="shared" si="4"/>
        <v>Synchronizes the BOM and Calculation tabs.
Please note: Subsequent changes WITHIN a BOM row or calculation block are not applied!</v>
      </c>
      <c r="H35" s="6" t="str">
        <f t="shared" si="4"/>
        <v>Synchronisieren</v>
      </c>
      <c r="I35" s="6" t="str">
        <f t="shared" si="4"/>
        <v>Synchronisiert die Reiter BOM und Calculation.
Achtung: Nachträgliche Änderungen INNERHALB einer BOM-Zeile oder eines Kalkulationsblocks werden nicht übernommen!</v>
      </c>
      <c r="J35" s="6">
        <f t="shared" si="4"/>
        <v>0</v>
      </c>
      <c r="K35" s="6">
        <f t="shared" si="4"/>
        <v>0</v>
      </c>
    </row>
    <row r="36" spans="2:11" ht="38.25">
      <c r="B36" s="6" t="s">
        <v>1926</v>
      </c>
      <c r="C36" s="6"/>
      <c r="D36" s="6" t="str">
        <f t="shared" ref="D36:K36" si="5">D30</f>
        <v>Auto Transpose</v>
      </c>
      <c r="E36" s="6" t="str">
        <f t="shared" si="5"/>
        <v>Auto Übertrag</v>
      </c>
      <c r="F36" s="6" t="str">
        <f t="shared" si="5"/>
        <v>Auto Transpose</v>
      </c>
      <c r="G36" s="6" t="str">
        <f t="shared" si="5"/>
        <v>Checks automatically when leaving the active worksheet whether changes are available for synchronization in the BOM and/or the calculation tab.</v>
      </c>
      <c r="H36" s="6" t="str">
        <f t="shared" si="5"/>
        <v>Auto Übertrag</v>
      </c>
      <c r="I36" s="6" t="str">
        <f t="shared" si="5"/>
        <v>Prüft beim Verlassen des aktiven Arbeitsblattes automatisch, ob Änderungen in der BOM und/oder der Kalkulation zur Synchronisation vorliegen.</v>
      </c>
      <c r="J36" s="6">
        <f t="shared" si="5"/>
        <v>0</v>
      </c>
      <c r="K36" s="6">
        <f t="shared" si="5"/>
        <v>0</v>
      </c>
    </row>
    <row r="37" spans="2:11" ht="25.5">
      <c r="B37" s="6" t="s">
        <v>1927</v>
      </c>
      <c r="C37" s="6"/>
      <c r="D37" s="6" t="str">
        <f t="shared" ref="D37:K37" si="6">D31</f>
        <v>Auto Backup</v>
      </c>
      <c r="E37" s="6" t="str">
        <f t="shared" si="6"/>
        <v>Auto Backup</v>
      </c>
      <c r="F37" s="6" t="str">
        <f t="shared" si="6"/>
        <v>Auto Backup</v>
      </c>
      <c r="G37" s="6" t="str">
        <f t="shared" si="6"/>
        <v>Automatically creates a backup in the local temp directory before synchronization.</v>
      </c>
      <c r="H37" s="6" t="str">
        <f t="shared" si="6"/>
        <v>Auto Backup</v>
      </c>
      <c r="I37" s="6" t="str">
        <f t="shared" si="6"/>
        <v>Erstellt vor dem Synchronisieren automatisch ein Backup im lokalen Temp-Verzeichnis.</v>
      </c>
      <c r="J37" s="6">
        <f t="shared" si="6"/>
        <v>0</v>
      </c>
      <c r="K37" s="6">
        <f t="shared" si="6"/>
        <v>0</v>
      </c>
    </row>
    <row r="38" spans="2:11">
      <c r="B38" s="6" t="s">
        <v>838</v>
      </c>
      <c r="C38" s="6" t="s">
        <v>777</v>
      </c>
      <c r="D38" s="6" t="s">
        <v>737</v>
      </c>
      <c r="E38" s="6" t="s">
        <v>737</v>
      </c>
      <c r="F38" s="6" t="s">
        <v>2628</v>
      </c>
      <c r="G38" s="6" t="s">
        <v>966</v>
      </c>
      <c r="H38" s="6" t="s">
        <v>2627</v>
      </c>
      <c r="I38" s="6" t="s">
        <v>843</v>
      </c>
      <c r="J38" s="6">
        <v>1</v>
      </c>
      <c r="K38" s="6">
        <v>1</v>
      </c>
    </row>
    <row r="39" spans="2:11">
      <c r="B39" s="854" t="s">
        <v>2620</v>
      </c>
      <c r="C39" s="854" t="str">
        <f>C38</f>
        <v>GenerateBomNumbering</v>
      </c>
      <c r="D39" s="854" t="s">
        <v>2628</v>
      </c>
      <c r="E39" s="854" t="s">
        <v>2627</v>
      </c>
      <c r="F39" s="854" t="str">
        <f t="shared" ref="F39:K39" si="7">F38</f>
        <v>Generate Numbering</v>
      </c>
      <c r="G39" s="854" t="str">
        <f t="shared" si="7"/>
        <v>Renumbers the rows of the BOM according to the AWS logic.</v>
      </c>
      <c r="H39" s="854" t="str">
        <f t="shared" si="7"/>
        <v>Nummerierung generieren</v>
      </c>
      <c r="I39" s="854" t="str">
        <f t="shared" si="7"/>
        <v>Nummeriert die Zeilen der BOM gemäß der AWS-Logik neu.</v>
      </c>
      <c r="J39" s="854">
        <f t="shared" si="7"/>
        <v>1</v>
      </c>
      <c r="K39" s="854">
        <f t="shared" si="7"/>
        <v>1</v>
      </c>
    </row>
    <row r="40" spans="2:11" ht="25.5">
      <c r="B40" s="854" t="s">
        <v>2621</v>
      </c>
      <c r="C40" s="854" t="s">
        <v>2622</v>
      </c>
      <c r="D40" s="854" t="s">
        <v>2624</v>
      </c>
      <c r="E40" s="854" t="s">
        <v>2623</v>
      </c>
      <c r="F40" s="854" t="str">
        <f>XML[[#This Row],[Label EN]]</f>
        <v>Rebuild format</v>
      </c>
      <c r="G40" s="854" t="s">
        <v>2626</v>
      </c>
      <c r="H40" s="854" t="str">
        <f>XML[[#This Row],[Label DE]]</f>
        <v>Format erneuern</v>
      </c>
      <c r="I40" s="854" t="s">
        <v>2625</v>
      </c>
      <c r="J40" s="854">
        <v>1</v>
      </c>
      <c r="K40" s="854">
        <v>1</v>
      </c>
    </row>
    <row r="41" spans="2:11" ht="25.5">
      <c r="B41" s="6" t="s">
        <v>4000</v>
      </c>
      <c r="C41" s="6"/>
      <c r="D41" s="6" t="s">
        <v>259</v>
      </c>
      <c r="E41" s="6" t="s">
        <v>259</v>
      </c>
      <c r="F41" s="6" t="s">
        <v>1896</v>
      </c>
      <c r="G41" s="6" t="s">
        <v>2037</v>
      </c>
      <c r="H41" s="6" t="s">
        <v>860</v>
      </c>
      <c r="I41" s="6" t="s">
        <v>1827</v>
      </c>
      <c r="J41" s="6">
        <v>1</v>
      </c>
      <c r="K41" s="6">
        <v>1</v>
      </c>
    </row>
    <row r="42" spans="2:11" ht="25.5">
      <c r="B42" s="6" t="s">
        <v>859</v>
      </c>
      <c r="C42" s="6"/>
      <c r="D42" s="6" t="s">
        <v>861</v>
      </c>
      <c r="E42" s="6" t="s">
        <v>872</v>
      </c>
      <c r="F42" s="6" t="str">
        <f>F41</f>
        <v>Show/hide picture frame</v>
      </c>
      <c r="G42" s="6" t="str">
        <f t="shared" ref="G42:I42" si="8">G41</f>
        <v>The picture frame displays the pictures stored in the picture folder for the selected row or block.</v>
      </c>
      <c r="H42" s="6" t="str">
        <f t="shared" si="8"/>
        <v>Bilderrahmen ein-/ausblenden</v>
      </c>
      <c r="I42" s="6" t="str">
        <f t="shared" si="8"/>
        <v>Im Bilderrahmen werden die für die ausgewählte Zeile oder den ausgewählten Block im Bilderordner hinterlegten Bilder angezeigt.</v>
      </c>
      <c r="J42" s="6">
        <v>1</v>
      </c>
      <c r="K42" s="6">
        <v>1</v>
      </c>
    </row>
    <row r="43" spans="2:11" ht="25.5">
      <c r="B43" s="6" t="s">
        <v>835</v>
      </c>
      <c r="C43" s="6" t="s">
        <v>778</v>
      </c>
      <c r="D43" s="6" t="s">
        <v>797</v>
      </c>
      <c r="E43" s="6" t="s">
        <v>762</v>
      </c>
      <c r="F43" s="6" t="s">
        <v>797</v>
      </c>
      <c r="G43" s="6" t="s">
        <v>2038</v>
      </c>
      <c r="H43" s="6" t="s">
        <v>762</v>
      </c>
      <c r="I43" s="6" t="s">
        <v>1543</v>
      </c>
      <c r="J43" s="6">
        <v>1</v>
      </c>
      <c r="K43" s="6">
        <v>1</v>
      </c>
    </row>
    <row r="44" spans="2:11">
      <c r="B44" s="6" t="s">
        <v>836</v>
      </c>
      <c r="C44" s="6" t="s">
        <v>779</v>
      </c>
      <c r="D44" s="6" t="s">
        <v>798</v>
      </c>
      <c r="E44" s="6" t="s">
        <v>763</v>
      </c>
      <c r="F44" s="6" t="s">
        <v>967</v>
      </c>
      <c r="G44" s="6" t="s">
        <v>2039</v>
      </c>
      <c r="H44" s="6" t="s">
        <v>825</v>
      </c>
      <c r="I44" s="6" t="s">
        <v>1828</v>
      </c>
      <c r="J44" s="6">
        <v>1</v>
      </c>
      <c r="K44" s="6">
        <v>1</v>
      </c>
    </row>
    <row r="45" spans="2:11" ht="51">
      <c r="B45" s="1113" t="s">
        <v>3910</v>
      </c>
      <c r="C45" s="6" t="s">
        <v>3911</v>
      </c>
      <c r="D45" s="1113" t="s">
        <v>3912</v>
      </c>
      <c r="E45" s="1113" t="s">
        <v>3913</v>
      </c>
      <c r="F45" s="1113" t="str">
        <f>XML[[#This Row],[Label EN]]</f>
        <v>Move unused pictures to subfolder</v>
      </c>
      <c r="G45" s="1113" t="s">
        <v>3917</v>
      </c>
      <c r="H45" s="1113" t="str">
        <f>XML[[#This Row],[Label DE]]</f>
        <v>Unbenutze Bilder in Unterordner verschieben</v>
      </c>
      <c r="I45" s="1113" t="s">
        <v>3916</v>
      </c>
      <c r="J45" s="1113"/>
      <c r="K45" s="1113"/>
    </row>
    <row r="46" spans="2:11" ht="25.5">
      <c r="B46" s="6" t="s">
        <v>837</v>
      </c>
      <c r="C46" s="6" t="s">
        <v>780</v>
      </c>
      <c r="D46" s="6" t="s">
        <v>3919</v>
      </c>
      <c r="E46" s="6" t="s">
        <v>764</v>
      </c>
      <c r="F46" s="6" t="s">
        <v>1410</v>
      </c>
      <c r="G46" s="6" t="s">
        <v>2040</v>
      </c>
      <c r="H46" s="6" t="s">
        <v>1411</v>
      </c>
      <c r="I46" s="6" t="s">
        <v>1829</v>
      </c>
      <c r="J46" s="6">
        <v>1</v>
      </c>
      <c r="K46" s="6">
        <v>1</v>
      </c>
    </row>
    <row r="47" spans="2:11" ht="51">
      <c r="B47" s="6" t="s">
        <v>1408</v>
      </c>
      <c r="C47" s="6" t="s">
        <v>1409</v>
      </c>
      <c r="D47" s="6" t="s">
        <v>3918</v>
      </c>
      <c r="E47" s="6" t="s">
        <v>1424</v>
      </c>
      <c r="F47" s="6" t="s">
        <v>1425</v>
      </c>
      <c r="G47" s="6" t="s">
        <v>2041</v>
      </c>
      <c r="H47" s="6" t="s">
        <v>1426</v>
      </c>
      <c r="I47" s="6" t="s">
        <v>1897</v>
      </c>
      <c r="J47" s="6">
        <v>0</v>
      </c>
      <c r="K47" s="6">
        <v>0</v>
      </c>
    </row>
    <row r="48" spans="2:11" ht="25.5">
      <c r="B48" s="6" t="s">
        <v>4001</v>
      </c>
      <c r="C48" s="6"/>
      <c r="D48" s="6" t="str">
        <f t="shared" ref="D48:I48" si="9">D41</f>
        <v>Pic</v>
      </c>
      <c r="E48" s="6" t="str">
        <f t="shared" si="9"/>
        <v>Pic</v>
      </c>
      <c r="F48" s="6" t="str">
        <f t="shared" si="9"/>
        <v>Show/hide picture frame</v>
      </c>
      <c r="G48" s="6" t="str">
        <f t="shared" si="9"/>
        <v>The picture frame displays the pictures stored in the picture folder for the selected row or block.</v>
      </c>
      <c r="H48" s="6" t="str">
        <f t="shared" si="9"/>
        <v>Bilderrahmen ein-/ausblenden</v>
      </c>
      <c r="I48" s="6" t="str">
        <f t="shared" si="9"/>
        <v>Im Bilderrahmen werden die für die ausgewählte Zeile oder den ausgewählten Block im Bilderordner hinterlegten Bilder angezeigt.</v>
      </c>
      <c r="J48" s="6">
        <f t="shared" ref="J48:K50" si="10">J41</f>
        <v>1</v>
      </c>
      <c r="K48" s="6">
        <f t="shared" si="10"/>
        <v>1</v>
      </c>
    </row>
    <row r="49" spans="2:13" ht="25.5">
      <c r="B49" s="6" t="s">
        <v>4002</v>
      </c>
      <c r="C49" s="6"/>
      <c r="D49" s="6" t="str">
        <f t="shared" ref="D49:I49" si="11">D42</f>
        <v>Pictureframe</v>
      </c>
      <c r="E49" s="6" t="str">
        <f t="shared" si="11"/>
        <v>Bilderrahmen</v>
      </c>
      <c r="F49" s="6" t="str">
        <f t="shared" si="11"/>
        <v>Show/hide picture frame</v>
      </c>
      <c r="G49" s="6" t="str">
        <f t="shared" si="11"/>
        <v>The picture frame displays the pictures stored in the picture folder for the selected row or block.</v>
      </c>
      <c r="H49" s="6" t="str">
        <f t="shared" si="11"/>
        <v>Bilderrahmen ein-/ausblenden</v>
      </c>
      <c r="I49" s="6" t="str">
        <f t="shared" si="11"/>
        <v>Im Bilderrahmen werden die für die ausgewählte Zeile oder den ausgewählten Block im Bilderordner hinterlegten Bilder angezeigt.</v>
      </c>
      <c r="J49" s="6">
        <f t="shared" si="10"/>
        <v>1</v>
      </c>
      <c r="K49" s="6">
        <f t="shared" si="10"/>
        <v>1</v>
      </c>
    </row>
    <row r="50" spans="2:13">
      <c r="B50" s="6" t="s">
        <v>4004</v>
      </c>
      <c r="C50" s="6" t="str">
        <f t="shared" ref="C50:I50" si="12">C44</f>
        <v>PicturesOpenDirectory</v>
      </c>
      <c r="D50" s="6" t="str">
        <f t="shared" si="12"/>
        <v>Open folder</v>
      </c>
      <c r="E50" s="6" t="str">
        <f t="shared" si="12"/>
        <v>Ordner öffnen</v>
      </c>
      <c r="F50" s="6" t="str">
        <f t="shared" si="12"/>
        <v>Open picture folder</v>
      </c>
      <c r="G50" s="6" t="str">
        <f t="shared" si="12"/>
        <v>Opens the assigned picture folder.</v>
      </c>
      <c r="H50" s="6" t="str">
        <f t="shared" si="12"/>
        <v>Bilderordner öffnen</v>
      </c>
      <c r="I50" s="6" t="str">
        <f t="shared" si="12"/>
        <v>Öffnet den hinterlegten Bilderordner.</v>
      </c>
      <c r="J50" s="6">
        <f t="shared" si="10"/>
        <v>1</v>
      </c>
      <c r="K50" s="6">
        <f t="shared" si="10"/>
        <v>1</v>
      </c>
    </row>
    <row r="51" spans="2:13" ht="25.5">
      <c r="B51" s="6" t="s">
        <v>4003</v>
      </c>
      <c r="C51" s="6"/>
      <c r="D51" s="6" t="str">
        <f t="shared" ref="D51:K51" si="13">D41</f>
        <v>Pic</v>
      </c>
      <c r="E51" s="6" t="str">
        <f t="shared" si="13"/>
        <v>Pic</v>
      </c>
      <c r="F51" s="6" t="str">
        <f t="shared" si="13"/>
        <v>Show/hide picture frame</v>
      </c>
      <c r="G51" s="6" t="str">
        <f t="shared" si="13"/>
        <v>The picture frame displays the pictures stored in the picture folder for the selected row or block.</v>
      </c>
      <c r="H51" s="6" t="str">
        <f t="shared" si="13"/>
        <v>Bilderrahmen ein-/ausblenden</v>
      </c>
      <c r="I51" s="6" t="str">
        <f t="shared" si="13"/>
        <v>Im Bilderrahmen werden die für die ausgewählte Zeile oder den ausgewählten Block im Bilderordner hinterlegten Bilder angezeigt.</v>
      </c>
      <c r="J51" s="6">
        <f t="shared" si="13"/>
        <v>1</v>
      </c>
      <c r="K51" s="6">
        <f t="shared" si="13"/>
        <v>1</v>
      </c>
    </row>
    <row r="52" spans="2:13" ht="25.5">
      <c r="B52" s="6" t="s">
        <v>1898</v>
      </c>
      <c r="C52" s="6"/>
      <c r="D52" s="6" t="str">
        <f t="shared" ref="D52:K54" si="14">D42</f>
        <v>Pictureframe</v>
      </c>
      <c r="E52" s="6" t="str">
        <f t="shared" si="14"/>
        <v>Bilderrahmen</v>
      </c>
      <c r="F52" s="6" t="str">
        <f t="shared" si="14"/>
        <v>Show/hide picture frame</v>
      </c>
      <c r="G52" s="6" t="str">
        <f t="shared" si="14"/>
        <v>The picture frame displays the pictures stored in the picture folder for the selected row or block.</v>
      </c>
      <c r="H52" s="6" t="str">
        <f t="shared" si="14"/>
        <v>Bilderrahmen ein-/ausblenden</v>
      </c>
      <c r="I52" s="6" t="str">
        <f t="shared" si="14"/>
        <v>Im Bilderrahmen werden die für die ausgewählte Zeile oder den ausgewählten Block im Bilderordner hinterlegten Bilder angezeigt.</v>
      </c>
      <c r="J52" s="6">
        <f t="shared" si="14"/>
        <v>1</v>
      </c>
      <c r="K52" s="6">
        <f t="shared" si="14"/>
        <v>1</v>
      </c>
    </row>
    <row r="53" spans="2:13" ht="25.5">
      <c r="B53" s="6" t="s">
        <v>1899</v>
      </c>
      <c r="C53" s="6" t="str">
        <f>C43</f>
        <v>PicturesRename</v>
      </c>
      <c r="D53" s="6" t="str">
        <f t="shared" si="14"/>
        <v>Rename pictures</v>
      </c>
      <c r="E53" s="6" t="str">
        <f t="shared" si="14"/>
        <v>Bilder umbenennen</v>
      </c>
      <c r="F53" s="6" t="str">
        <f t="shared" si="14"/>
        <v>Rename pictures</v>
      </c>
      <c r="G53" s="6" t="str">
        <f t="shared" si="14"/>
        <v>Renames all pictures in the assigned picture folder that were assigned to a part in column R to the name formed in column A.</v>
      </c>
      <c r="H53" s="6" t="str">
        <f t="shared" si="14"/>
        <v>Bilder umbenennen</v>
      </c>
      <c r="I53" s="6" t="str">
        <f t="shared" si="14"/>
        <v>Benennt alle Bilder im zugewiesenen Bilderordner, die in Spalte R einem Bauteil zugeordnet wurden, in den in Spalte A gebildeten Namen um.</v>
      </c>
      <c r="J53" s="6">
        <f t="shared" si="14"/>
        <v>1</v>
      </c>
      <c r="K53" s="6">
        <f t="shared" si="14"/>
        <v>1</v>
      </c>
    </row>
    <row r="54" spans="2:13">
      <c r="B54" s="6" t="s">
        <v>1900</v>
      </c>
      <c r="C54" s="6" t="str">
        <f>C44</f>
        <v>PicturesOpenDirectory</v>
      </c>
      <c r="D54" s="6" t="str">
        <f t="shared" si="14"/>
        <v>Open folder</v>
      </c>
      <c r="E54" s="6" t="str">
        <f t="shared" si="14"/>
        <v>Ordner öffnen</v>
      </c>
      <c r="F54" s="6" t="str">
        <f t="shared" si="14"/>
        <v>Open picture folder</v>
      </c>
      <c r="G54" s="6" t="str">
        <f t="shared" si="14"/>
        <v>Opens the assigned picture folder.</v>
      </c>
      <c r="H54" s="6" t="str">
        <f t="shared" si="14"/>
        <v>Bilderordner öffnen</v>
      </c>
      <c r="I54" s="6" t="str">
        <f t="shared" si="14"/>
        <v>Öffnet den hinterlegten Bilderordner.</v>
      </c>
      <c r="J54" s="6">
        <f t="shared" si="14"/>
        <v>1</v>
      </c>
      <c r="K54" s="6">
        <f t="shared" si="14"/>
        <v>1</v>
      </c>
    </row>
    <row r="55" spans="2:13" ht="25.5">
      <c r="B55" s="6" t="s">
        <v>1901</v>
      </c>
      <c r="C55" s="6" t="str">
        <f t="shared" ref="C55:K55" si="15">C46</f>
        <v>PicturesSetDirectory</v>
      </c>
      <c r="D55" s="6" t="str">
        <f t="shared" si="15"/>
        <v>Change folder path</v>
      </c>
      <c r="E55" s="6" t="str">
        <f t="shared" si="15"/>
        <v>Ordnerpfad ändern</v>
      </c>
      <c r="F55" s="6" t="str">
        <f t="shared" si="15"/>
        <v>Change picture folder path</v>
      </c>
      <c r="G55" s="6" t="str">
        <f t="shared" si="15"/>
        <v>Changes the location of the assigned picture folder.</v>
      </c>
      <c r="H55" s="6" t="str">
        <f t="shared" si="15"/>
        <v>Pfad zum Bilderordner ändern</v>
      </c>
      <c r="I55" s="6" t="str">
        <f t="shared" si="15"/>
        <v>Ändert den Pfad des hinterlegten Bilderordners.</v>
      </c>
      <c r="J55" s="6">
        <f t="shared" si="15"/>
        <v>1</v>
      </c>
      <c r="K55" s="6">
        <f t="shared" si="15"/>
        <v>1</v>
      </c>
    </row>
    <row r="56" spans="2:13">
      <c r="B56" s="253" t="s">
        <v>728</v>
      </c>
      <c r="C56" s="6"/>
      <c r="D56" s="6" t="s">
        <v>749</v>
      </c>
      <c r="E56" s="6" t="s">
        <v>731</v>
      </c>
      <c r="F56" s="6"/>
      <c r="G56" s="6"/>
      <c r="H56" s="6"/>
      <c r="I56" s="6"/>
      <c r="J56" s="6">
        <v>1</v>
      </c>
      <c r="K56" s="6">
        <v>1</v>
      </c>
      <c r="M56" s="453" t="s">
        <v>731</v>
      </c>
    </row>
    <row r="57" spans="2:13">
      <c r="B57" s="1113" t="s">
        <v>3850</v>
      </c>
      <c r="C57" s="6" t="s">
        <v>3880</v>
      </c>
      <c r="D57" s="1113" t="s">
        <v>2464</v>
      </c>
      <c r="E57" s="1113" t="s">
        <v>2464</v>
      </c>
      <c r="F57" s="6" t="s">
        <v>3837</v>
      </c>
      <c r="G57" s="1113"/>
      <c r="H57" s="6" t="s">
        <v>3838</v>
      </c>
      <c r="I57" s="1113"/>
      <c r="J57" s="6">
        <v>0</v>
      </c>
      <c r="K57" s="6">
        <v>0</v>
      </c>
    </row>
    <row r="58" spans="2:13">
      <c r="B58" s="1113" t="s">
        <v>3851</v>
      </c>
      <c r="C58" s="1113"/>
      <c r="D58" s="1113"/>
      <c r="E58" s="1113"/>
      <c r="F58" s="1113"/>
      <c r="G58" s="1113"/>
      <c r="H58" s="1113"/>
      <c r="I58" s="1113"/>
      <c r="J58" s="6">
        <v>0</v>
      </c>
      <c r="K58" s="6">
        <v>0</v>
      </c>
    </row>
    <row r="59" spans="2:13">
      <c r="B59" s="6" t="s">
        <v>868</v>
      </c>
      <c r="C59" s="6"/>
      <c r="D59" s="6" t="s">
        <v>284</v>
      </c>
      <c r="E59" s="6" t="s">
        <v>759</v>
      </c>
      <c r="F59" s="6"/>
      <c r="G59" s="6"/>
      <c r="H59" s="6"/>
      <c r="I59" s="6"/>
      <c r="J59" s="6">
        <v>1</v>
      </c>
      <c r="K59" s="6">
        <v>1</v>
      </c>
    </row>
    <row r="60" spans="2:13">
      <c r="B60" s="6" t="s">
        <v>867</v>
      </c>
      <c r="C60" s="6" t="s">
        <v>774</v>
      </c>
      <c r="D60" s="6" t="s">
        <v>284</v>
      </c>
      <c r="E60" s="6" t="s">
        <v>759</v>
      </c>
      <c r="F60" s="6" t="s">
        <v>284</v>
      </c>
      <c r="G60" s="6" t="s">
        <v>1830</v>
      </c>
      <c r="H60" s="6" t="s">
        <v>759</v>
      </c>
      <c r="I60" s="6" t="s">
        <v>1831</v>
      </c>
      <c r="J60" s="6">
        <v>1</v>
      </c>
      <c r="K60" s="6">
        <v>1</v>
      </c>
    </row>
    <row r="61" spans="2:13">
      <c r="B61" s="6" t="s">
        <v>1234</v>
      </c>
      <c r="C61" s="6" t="str">
        <f>C60</f>
        <v>AnalysisInit</v>
      </c>
      <c r="D61" s="6" t="str">
        <f t="shared" ref="D61:K61" si="16">D60</f>
        <v>Analysis</v>
      </c>
      <c r="E61" s="6" t="str">
        <f t="shared" si="16"/>
        <v>Analyse</v>
      </c>
      <c r="F61" s="6" t="str">
        <f t="shared" si="16"/>
        <v>Analysis</v>
      </c>
      <c r="G61" s="6" t="str">
        <f t="shared" si="16"/>
        <v>Shows the summary of the selected cost item.</v>
      </c>
      <c r="H61" s="6" t="str">
        <f t="shared" si="16"/>
        <v>Analyse</v>
      </c>
      <c r="I61" s="6" t="str">
        <f t="shared" si="16"/>
        <v>Zeigt die Zusammenstellung der ausgewählten Kostenposition.</v>
      </c>
      <c r="J61" s="6">
        <f t="shared" si="16"/>
        <v>1</v>
      </c>
      <c r="K61" s="6">
        <f t="shared" si="16"/>
        <v>1</v>
      </c>
    </row>
    <row r="62" spans="2:13" ht="25.5">
      <c r="B62" s="6" t="s">
        <v>1235</v>
      </c>
      <c r="C62" s="6"/>
      <c r="D62" s="6" t="str">
        <f t="shared" ref="D62:K62" si="17">D42</f>
        <v>Pictureframe</v>
      </c>
      <c r="E62" s="6" t="str">
        <f t="shared" si="17"/>
        <v>Bilderrahmen</v>
      </c>
      <c r="F62" s="6" t="str">
        <f t="shared" si="17"/>
        <v>Show/hide picture frame</v>
      </c>
      <c r="G62" s="6" t="str">
        <f t="shared" si="17"/>
        <v>The picture frame displays the pictures stored in the picture folder for the selected row or block.</v>
      </c>
      <c r="H62" s="6" t="str">
        <f t="shared" si="17"/>
        <v>Bilderrahmen ein-/ausblenden</v>
      </c>
      <c r="I62" s="6" t="str">
        <f t="shared" si="17"/>
        <v>Im Bilderrahmen werden die für die ausgewählte Zeile oder den ausgewählten Block im Bilderordner hinterlegten Bilder angezeigt.</v>
      </c>
      <c r="J62" s="6">
        <f t="shared" si="17"/>
        <v>1</v>
      </c>
      <c r="K62" s="6">
        <f t="shared" si="17"/>
        <v>1</v>
      </c>
    </row>
    <row r="63" spans="2:13" ht="38.25">
      <c r="B63" s="6" t="s">
        <v>866</v>
      </c>
      <c r="C63" s="6"/>
      <c r="D63" s="6" t="s">
        <v>869</v>
      </c>
      <c r="E63" s="6" t="s">
        <v>870</v>
      </c>
      <c r="F63" s="6" t="s">
        <v>968</v>
      </c>
      <c r="G63" s="6" t="s">
        <v>1998</v>
      </c>
      <c r="H63" s="6" t="s">
        <v>871</v>
      </c>
      <c r="I63" s="6" t="s">
        <v>1997</v>
      </c>
      <c r="J63" s="6">
        <v>1</v>
      </c>
      <c r="K63" s="6">
        <v>1</v>
      </c>
    </row>
    <row r="64" spans="2:13">
      <c r="B64" s="6" t="s">
        <v>729</v>
      </c>
      <c r="C64" s="6"/>
      <c r="D64" s="6"/>
      <c r="E64" s="6"/>
      <c r="F64" s="6" t="s">
        <v>969</v>
      </c>
      <c r="G64" s="6" t="s">
        <v>1833</v>
      </c>
      <c r="H64" s="6" t="s">
        <v>1334</v>
      </c>
      <c r="I64" s="6" t="s">
        <v>1832</v>
      </c>
      <c r="J64" s="6">
        <v>1</v>
      </c>
      <c r="K64" s="6">
        <v>1</v>
      </c>
    </row>
    <row r="65" spans="2:11">
      <c r="B65" s="6" t="s">
        <v>730</v>
      </c>
      <c r="C65" s="6"/>
      <c r="D65" s="6"/>
      <c r="E65" s="6"/>
      <c r="F65" s="6" t="s">
        <v>801</v>
      </c>
      <c r="G65" s="6" t="s">
        <v>1834</v>
      </c>
      <c r="H65" s="6" t="s">
        <v>1335</v>
      </c>
      <c r="I65" s="6" t="s">
        <v>1835</v>
      </c>
      <c r="J65" s="6">
        <v>1</v>
      </c>
      <c r="K65" s="6">
        <v>1</v>
      </c>
    </row>
    <row r="66" spans="2:11">
      <c r="B66" s="6" t="s">
        <v>776</v>
      </c>
      <c r="C66" s="6" t="s">
        <v>775</v>
      </c>
      <c r="D66" s="6"/>
      <c r="E66" s="6"/>
      <c r="F66" s="6" t="s">
        <v>970</v>
      </c>
      <c r="G66" s="6" t="s">
        <v>1836</v>
      </c>
      <c r="H66" s="6" t="s">
        <v>824</v>
      </c>
      <c r="I66" s="6" t="s">
        <v>1837</v>
      </c>
      <c r="J66" s="6">
        <v>1</v>
      </c>
      <c r="K66" s="6">
        <v>1</v>
      </c>
    </row>
    <row r="67" spans="2:11">
      <c r="B67" s="6" t="s">
        <v>732</v>
      </c>
      <c r="C67" s="6"/>
      <c r="D67" s="6" t="s">
        <v>789</v>
      </c>
      <c r="E67" s="6" t="s">
        <v>750</v>
      </c>
      <c r="F67" s="6" t="s">
        <v>789</v>
      </c>
      <c r="G67" s="6" t="s">
        <v>1838</v>
      </c>
      <c r="H67" s="6" t="s">
        <v>750</v>
      </c>
      <c r="I67" s="6" t="s">
        <v>1839</v>
      </c>
      <c r="J67" s="6">
        <v>1</v>
      </c>
      <c r="K67" s="6">
        <v>1</v>
      </c>
    </row>
    <row r="68" spans="2:11">
      <c r="B68" s="6" t="s">
        <v>733</v>
      </c>
      <c r="C68" s="6"/>
      <c r="D68" s="6" t="s">
        <v>790</v>
      </c>
      <c r="E68" s="6" t="s">
        <v>751</v>
      </c>
      <c r="F68" s="6" t="s">
        <v>790</v>
      </c>
      <c r="G68" s="6" t="s">
        <v>1840</v>
      </c>
      <c r="H68" s="6" t="s">
        <v>751</v>
      </c>
      <c r="I68" s="6" t="s">
        <v>1841</v>
      </c>
      <c r="J68" s="6">
        <v>1</v>
      </c>
      <c r="K68" s="6">
        <v>1</v>
      </c>
    </row>
    <row r="69" spans="2:11" ht="25.5">
      <c r="B69" s="6" t="s">
        <v>734</v>
      </c>
      <c r="C69" s="6"/>
      <c r="D69" s="6" t="s">
        <v>791</v>
      </c>
      <c r="E69" s="6" t="s">
        <v>752</v>
      </c>
      <c r="F69" s="6" t="s">
        <v>791</v>
      </c>
      <c r="G69" s="6" t="s">
        <v>1842</v>
      </c>
      <c r="H69" s="6" t="s">
        <v>752</v>
      </c>
      <c r="I69" s="6" t="s">
        <v>1843</v>
      </c>
      <c r="J69" s="6">
        <v>1</v>
      </c>
      <c r="K69" s="6">
        <v>1</v>
      </c>
    </row>
    <row r="70" spans="2:11">
      <c r="B70" s="6" t="s">
        <v>735</v>
      </c>
      <c r="C70" s="6"/>
      <c r="D70" s="6" t="s">
        <v>792</v>
      </c>
      <c r="E70" s="6" t="s">
        <v>753</v>
      </c>
      <c r="F70" s="6" t="s">
        <v>792</v>
      </c>
      <c r="G70" s="6" t="s">
        <v>1866</v>
      </c>
      <c r="H70" s="6" t="s">
        <v>753</v>
      </c>
      <c r="I70" s="6" t="s">
        <v>1867</v>
      </c>
      <c r="J70" s="6">
        <v>1</v>
      </c>
      <c r="K70" s="6">
        <v>1</v>
      </c>
    </row>
    <row r="71" spans="2:11" ht="51">
      <c r="B71" s="6" t="s">
        <v>736</v>
      </c>
      <c r="C71" s="6" t="s">
        <v>896</v>
      </c>
      <c r="D71" s="6" t="s">
        <v>1250</v>
      </c>
      <c r="E71" s="6" t="s">
        <v>1249</v>
      </c>
      <c r="F71" s="6" t="s">
        <v>1250</v>
      </c>
      <c r="G71" s="6" t="s">
        <v>1251</v>
      </c>
      <c r="H71" s="6" t="s">
        <v>1249</v>
      </c>
      <c r="I71" s="6" t="s">
        <v>1252</v>
      </c>
      <c r="J71" s="6">
        <v>1</v>
      </c>
      <c r="K71" s="6">
        <v>1</v>
      </c>
    </row>
    <row r="72" spans="2:11">
      <c r="B72" s="6" t="s">
        <v>844</v>
      </c>
      <c r="C72" s="6"/>
      <c r="D72" s="6" t="s">
        <v>761</v>
      </c>
      <c r="E72" s="6" t="s">
        <v>754</v>
      </c>
      <c r="F72" s="6" t="s">
        <v>971</v>
      </c>
      <c r="G72" s="6" t="s">
        <v>1864</v>
      </c>
      <c r="H72" s="6" t="s">
        <v>845</v>
      </c>
      <c r="I72" s="6" t="s">
        <v>1865</v>
      </c>
      <c r="J72" s="6">
        <v>1</v>
      </c>
      <c r="K72" s="6">
        <v>1</v>
      </c>
    </row>
    <row r="73" spans="2:11">
      <c r="B73" s="6" t="s">
        <v>2357</v>
      </c>
      <c r="C73" s="6"/>
      <c r="D73" s="6" t="s">
        <v>793</v>
      </c>
      <c r="E73" s="6" t="s">
        <v>755</v>
      </c>
      <c r="F73" s="6" t="s">
        <v>793</v>
      </c>
      <c r="G73" s="6" t="s">
        <v>1862</v>
      </c>
      <c r="H73" s="6" t="s">
        <v>755</v>
      </c>
      <c r="I73" s="6" t="s">
        <v>1863</v>
      </c>
      <c r="J73" s="6">
        <v>1</v>
      </c>
      <c r="K73" s="6">
        <v>1</v>
      </c>
    </row>
    <row r="74" spans="2:11">
      <c r="B74" s="6" t="s">
        <v>2358</v>
      </c>
      <c r="C74" s="6"/>
      <c r="D74" s="6" t="s">
        <v>166</v>
      </c>
      <c r="E74" s="6" t="s">
        <v>85</v>
      </c>
      <c r="F74" s="6" t="s">
        <v>166</v>
      </c>
      <c r="G74" s="6" t="s">
        <v>1860</v>
      </c>
      <c r="H74" s="6" t="s">
        <v>85</v>
      </c>
      <c r="I74" s="6" t="s">
        <v>1861</v>
      </c>
      <c r="J74" s="6">
        <v>1</v>
      </c>
      <c r="K74" s="6">
        <v>1</v>
      </c>
    </row>
    <row r="75" spans="2:11">
      <c r="B75" s="6" t="s">
        <v>2359</v>
      </c>
      <c r="C75" s="6"/>
      <c r="D75" s="6" t="s">
        <v>794</v>
      </c>
      <c r="E75" s="6" t="s">
        <v>86</v>
      </c>
      <c r="F75" s="6" t="s">
        <v>208</v>
      </c>
      <c r="G75" s="6" t="s">
        <v>1858</v>
      </c>
      <c r="H75" s="6" t="s">
        <v>86</v>
      </c>
      <c r="I75" s="6" t="s">
        <v>1859</v>
      </c>
      <c r="J75" s="6">
        <v>1</v>
      </c>
      <c r="K75" s="6">
        <v>1</v>
      </c>
    </row>
    <row r="76" spans="2:11" ht="25.5">
      <c r="B76" s="6" t="s">
        <v>2360</v>
      </c>
      <c r="C76" s="6"/>
      <c r="D76" s="6" t="s">
        <v>795</v>
      </c>
      <c r="E76" s="6" t="s">
        <v>756</v>
      </c>
      <c r="F76" s="6" t="s">
        <v>972</v>
      </c>
      <c r="G76" s="6" t="s">
        <v>1856</v>
      </c>
      <c r="H76" s="6" t="s">
        <v>756</v>
      </c>
      <c r="I76" s="6" t="s">
        <v>1857</v>
      </c>
      <c r="J76" s="6">
        <v>1</v>
      </c>
      <c r="K76" s="6">
        <v>1</v>
      </c>
    </row>
    <row r="77" spans="2:11" ht="25.5">
      <c r="B77" s="6" t="s">
        <v>2361</v>
      </c>
      <c r="C77" s="6"/>
      <c r="D77" s="6" t="s">
        <v>796</v>
      </c>
      <c r="E77" s="6" t="s">
        <v>757</v>
      </c>
      <c r="F77" s="6" t="s">
        <v>973</v>
      </c>
      <c r="G77" s="6" t="s">
        <v>1854</v>
      </c>
      <c r="H77" s="6" t="s">
        <v>757</v>
      </c>
      <c r="I77" s="6" t="s">
        <v>1855</v>
      </c>
      <c r="J77" s="6">
        <v>1</v>
      </c>
      <c r="K77" s="6">
        <v>1</v>
      </c>
    </row>
    <row r="78" spans="2:11" ht="25.5">
      <c r="B78" s="6" t="s">
        <v>2362</v>
      </c>
      <c r="C78" s="6"/>
      <c r="D78" s="6" t="s">
        <v>760</v>
      </c>
      <c r="E78" s="6" t="s">
        <v>758</v>
      </c>
      <c r="F78" s="6" t="s">
        <v>974</v>
      </c>
      <c r="G78" s="6" t="s">
        <v>1852</v>
      </c>
      <c r="H78" s="6" t="s">
        <v>758</v>
      </c>
      <c r="I78" s="6" t="s">
        <v>1853</v>
      </c>
      <c r="J78" s="6">
        <v>1</v>
      </c>
      <c r="K78" s="6">
        <v>1</v>
      </c>
    </row>
    <row r="79" spans="2:11" ht="38.25">
      <c r="B79" s="6" t="s">
        <v>2363</v>
      </c>
      <c r="C79" s="6"/>
      <c r="D79" s="6" t="s">
        <v>203</v>
      </c>
      <c r="E79" s="6" t="s">
        <v>206</v>
      </c>
      <c r="F79" s="6" t="s">
        <v>207</v>
      </c>
      <c r="G79" s="6" t="s">
        <v>1850</v>
      </c>
      <c r="H79" s="6" t="s">
        <v>709</v>
      </c>
      <c r="I79" s="6" t="s">
        <v>1851</v>
      </c>
      <c r="J79" s="6">
        <v>1</v>
      </c>
      <c r="K79" s="6">
        <v>1</v>
      </c>
    </row>
    <row r="80" spans="2:11">
      <c r="B80" s="6" t="s">
        <v>2364</v>
      </c>
      <c r="C80" s="6"/>
      <c r="D80" s="6" t="s">
        <v>2059</v>
      </c>
      <c r="E80" s="6" t="s">
        <v>2060</v>
      </c>
      <c r="F80" s="6" t="s">
        <v>2059</v>
      </c>
      <c r="G80" s="6" t="s">
        <v>2063</v>
      </c>
      <c r="H80" s="6" t="s">
        <v>2060</v>
      </c>
      <c r="I80" s="6" t="s">
        <v>2065</v>
      </c>
      <c r="J80" s="6">
        <v>1</v>
      </c>
      <c r="K80" s="6">
        <v>1</v>
      </c>
    </row>
    <row r="81" spans="2:13">
      <c r="B81" s="6" t="s">
        <v>2365</v>
      </c>
      <c r="C81" s="6"/>
      <c r="D81" s="6" t="s">
        <v>2061</v>
      </c>
      <c r="E81" s="6" t="s">
        <v>2062</v>
      </c>
      <c r="F81" s="6" t="s">
        <v>2061</v>
      </c>
      <c r="G81" s="6" t="s">
        <v>2064</v>
      </c>
      <c r="H81" s="6" t="s">
        <v>2062</v>
      </c>
      <c r="I81" s="6" t="s">
        <v>2066</v>
      </c>
      <c r="J81" s="6">
        <v>1</v>
      </c>
      <c r="K81" s="6">
        <v>1</v>
      </c>
    </row>
    <row r="82" spans="2:13" ht="25.5">
      <c r="B82" s="6" t="s">
        <v>2366</v>
      </c>
      <c r="C82" s="6"/>
      <c r="D82" s="6" t="s">
        <v>204</v>
      </c>
      <c r="E82" s="6" t="s">
        <v>204</v>
      </c>
      <c r="F82" s="6" t="s">
        <v>204</v>
      </c>
      <c r="G82" s="6" t="s">
        <v>975</v>
      </c>
      <c r="H82" s="6" t="s">
        <v>204</v>
      </c>
      <c r="I82" s="6" t="s">
        <v>846</v>
      </c>
      <c r="J82" s="6">
        <v>1</v>
      </c>
      <c r="K82" s="6">
        <v>1</v>
      </c>
    </row>
    <row r="83" spans="2:13">
      <c r="B83" s="253" t="s">
        <v>815</v>
      </c>
      <c r="C83" s="6"/>
      <c r="D83" s="6" t="s">
        <v>1376</v>
      </c>
      <c r="E83" s="6" t="s">
        <v>56</v>
      </c>
      <c r="F83" s="6"/>
      <c r="G83" s="6"/>
      <c r="H83" s="6"/>
      <c r="I83" s="6"/>
      <c r="J83" s="6">
        <v>1</v>
      </c>
      <c r="K83" s="6">
        <v>1</v>
      </c>
      <c r="M83" s="453" t="s">
        <v>56</v>
      </c>
    </row>
    <row r="84" spans="2:13">
      <c r="B84" s="6" t="s">
        <v>813</v>
      </c>
      <c r="C84" s="6"/>
      <c r="D84" s="6" t="s">
        <v>597</v>
      </c>
      <c r="E84" s="6" t="s">
        <v>558</v>
      </c>
      <c r="F84" s="6"/>
      <c r="G84" s="6"/>
      <c r="H84" s="6"/>
      <c r="I84" s="6"/>
      <c r="J84" s="6">
        <v>1</v>
      </c>
      <c r="K84" s="6">
        <v>1</v>
      </c>
    </row>
    <row r="85" spans="2:13" ht="25.5">
      <c r="B85" s="6" t="s">
        <v>788</v>
      </c>
      <c r="C85" s="6" t="s">
        <v>1384</v>
      </c>
      <c r="D85" s="6" t="s">
        <v>805</v>
      </c>
      <c r="E85" s="6" t="s">
        <v>806</v>
      </c>
      <c r="F85" s="6" t="s">
        <v>985</v>
      </c>
      <c r="G85" s="6" t="s">
        <v>1848</v>
      </c>
      <c r="H85" s="6" t="s">
        <v>823</v>
      </c>
      <c r="I85" s="6" t="s">
        <v>1849</v>
      </c>
      <c r="J85" s="6">
        <v>1</v>
      </c>
      <c r="K85" s="6">
        <v>1</v>
      </c>
    </row>
    <row r="86" spans="2:13">
      <c r="B86" s="6" t="s">
        <v>807</v>
      </c>
      <c r="C86" s="6"/>
      <c r="D86" s="6" t="s">
        <v>812</v>
      </c>
      <c r="E86" s="6" t="s">
        <v>811</v>
      </c>
      <c r="F86" s="6" t="s">
        <v>986</v>
      </c>
      <c r="G86" s="6" t="s">
        <v>1846</v>
      </c>
      <c r="H86" s="6" t="s">
        <v>821</v>
      </c>
      <c r="I86" s="6" t="s">
        <v>1847</v>
      </c>
      <c r="J86" s="6">
        <v>1</v>
      </c>
      <c r="K86" s="6">
        <v>1</v>
      </c>
    </row>
    <row r="87" spans="2:13">
      <c r="B87" s="6" t="s">
        <v>808</v>
      </c>
      <c r="C87" s="6"/>
      <c r="D87" s="6" t="s">
        <v>809</v>
      </c>
      <c r="E87" s="6" t="s">
        <v>810</v>
      </c>
      <c r="F87" s="6" t="s">
        <v>987</v>
      </c>
      <c r="G87" s="6" t="s">
        <v>1844</v>
      </c>
      <c r="H87" s="6" t="s">
        <v>822</v>
      </c>
      <c r="I87" s="6" t="s">
        <v>1845</v>
      </c>
      <c r="J87" s="6">
        <v>1</v>
      </c>
      <c r="K87" s="6">
        <v>1</v>
      </c>
    </row>
    <row r="88" spans="2:13">
      <c r="B88" s="6" t="s">
        <v>1300</v>
      </c>
      <c r="C88" s="6"/>
      <c r="D88" s="6" t="s">
        <v>675</v>
      </c>
      <c r="E88" s="6" t="s">
        <v>675</v>
      </c>
      <c r="F88" s="6" t="s">
        <v>1324</v>
      </c>
      <c r="G88" s="6"/>
      <c r="H88" s="6" t="s">
        <v>1313</v>
      </c>
      <c r="I88" s="6"/>
      <c r="J88" s="6">
        <v>1</v>
      </c>
      <c r="K88" s="6">
        <v>1</v>
      </c>
    </row>
    <row r="89" spans="2:13">
      <c r="B89" s="6" t="s">
        <v>1301</v>
      </c>
      <c r="C89" s="6"/>
      <c r="D89" s="6" t="s">
        <v>1312</v>
      </c>
      <c r="E89" s="6" t="s">
        <v>98</v>
      </c>
      <c r="F89" s="6" t="s">
        <v>1312</v>
      </c>
      <c r="G89" s="6" t="s">
        <v>1329</v>
      </c>
      <c r="H89" s="6" t="s">
        <v>98</v>
      </c>
      <c r="I89" s="6" t="s">
        <v>1328</v>
      </c>
      <c r="J89" s="6">
        <v>1</v>
      </c>
      <c r="K89" s="6">
        <v>1</v>
      </c>
      <c r="M89" s="453" t="s">
        <v>98</v>
      </c>
    </row>
    <row r="90" spans="2:13" ht="63.75">
      <c r="B90" s="6" t="s">
        <v>1303</v>
      </c>
      <c r="C90" s="6"/>
      <c r="D90" s="6" t="s">
        <v>2460</v>
      </c>
      <c r="E90" s="6" t="s">
        <v>1970</v>
      </c>
      <c r="F90" s="6" t="s">
        <v>2460</v>
      </c>
      <c r="G90" s="6" t="s">
        <v>1353</v>
      </c>
      <c r="H90" s="6" t="s">
        <v>1970</v>
      </c>
      <c r="I90" s="6" t="s">
        <v>1333</v>
      </c>
      <c r="J90" s="6">
        <v>1</v>
      </c>
      <c r="K90" s="6">
        <v>1</v>
      </c>
    </row>
    <row r="91" spans="2:13" ht="38.25">
      <c r="B91" s="6" t="s">
        <v>1304</v>
      </c>
      <c r="C91" s="6"/>
      <c r="D91" s="6" t="s">
        <v>1973</v>
      </c>
      <c r="E91" s="6" t="s">
        <v>1971</v>
      </c>
      <c r="F91" s="6" t="s">
        <v>1973</v>
      </c>
      <c r="G91" s="6" t="s">
        <v>2459</v>
      </c>
      <c r="H91" s="6" t="s">
        <v>1971</v>
      </c>
      <c r="I91" s="6" t="s">
        <v>2456</v>
      </c>
      <c r="J91" s="6">
        <v>1</v>
      </c>
      <c r="K91" s="6">
        <v>1</v>
      </c>
    </row>
    <row r="92" spans="2:13" ht="51">
      <c r="B92" s="6" t="s">
        <v>1305</v>
      </c>
      <c r="C92" s="6"/>
      <c r="D92" s="6" t="s">
        <v>1307</v>
      </c>
      <c r="E92" s="6" t="s">
        <v>1306</v>
      </c>
      <c r="F92" s="6" t="s">
        <v>1307</v>
      </c>
      <c r="G92" s="6" t="s">
        <v>1323</v>
      </c>
      <c r="H92" s="6" t="s">
        <v>1306</v>
      </c>
      <c r="I92" s="6" t="s">
        <v>1325</v>
      </c>
      <c r="J92" s="6">
        <v>1</v>
      </c>
      <c r="K92" s="6">
        <v>1</v>
      </c>
    </row>
    <row r="93" spans="2:13">
      <c r="B93" s="6" t="s">
        <v>1308</v>
      </c>
      <c r="C93" s="6"/>
      <c r="D93" s="6" t="s">
        <v>1302</v>
      </c>
      <c r="E93" s="6" t="s">
        <v>1</v>
      </c>
      <c r="F93" s="6" t="s">
        <v>1302</v>
      </c>
      <c r="G93" s="6" t="s">
        <v>1330</v>
      </c>
      <c r="H93" s="6" t="s">
        <v>1</v>
      </c>
      <c r="I93" s="6" t="s">
        <v>1327</v>
      </c>
      <c r="J93" s="6">
        <v>1</v>
      </c>
      <c r="K93" s="6">
        <v>1</v>
      </c>
      <c r="M93" s="453" t="s">
        <v>1</v>
      </c>
    </row>
    <row r="94" spans="2:13" ht="63.75">
      <c r="B94" s="6" t="s">
        <v>1309</v>
      </c>
      <c r="C94" s="6"/>
      <c r="D94" s="6" t="s">
        <v>2461</v>
      </c>
      <c r="E94" s="6" t="s">
        <v>1972</v>
      </c>
      <c r="F94" s="6" t="s">
        <v>2461</v>
      </c>
      <c r="G94" s="6" t="s">
        <v>1352</v>
      </c>
      <c r="H94" s="6" t="s">
        <v>1972</v>
      </c>
      <c r="I94" s="6" t="s">
        <v>1338</v>
      </c>
      <c r="J94" s="6">
        <v>1</v>
      </c>
      <c r="K94" s="6">
        <v>1</v>
      </c>
    </row>
    <row r="95" spans="2:13" ht="38.25">
      <c r="B95" s="6" t="s">
        <v>1310</v>
      </c>
      <c r="C95" s="6"/>
      <c r="D95" s="6" t="s">
        <v>1973</v>
      </c>
      <c r="E95" s="6" t="s">
        <v>1971</v>
      </c>
      <c r="F95" s="6" t="s">
        <v>1973</v>
      </c>
      <c r="G95" s="6" t="s">
        <v>2458</v>
      </c>
      <c r="H95" s="6" t="s">
        <v>1971</v>
      </c>
      <c r="I95" s="6" t="s">
        <v>2457</v>
      </c>
      <c r="J95" s="6">
        <v>1</v>
      </c>
      <c r="K95" s="6">
        <v>1</v>
      </c>
    </row>
    <row r="96" spans="2:13" ht="51">
      <c r="B96" s="6" t="s">
        <v>1311</v>
      </c>
      <c r="C96" s="6"/>
      <c r="D96" s="6" t="s">
        <v>1307</v>
      </c>
      <c r="E96" s="6" t="s">
        <v>1306</v>
      </c>
      <c r="F96" s="6" t="s">
        <v>1307</v>
      </c>
      <c r="G96" s="6" t="s">
        <v>1322</v>
      </c>
      <c r="H96" s="6" t="s">
        <v>1306</v>
      </c>
      <c r="I96" s="6" t="s">
        <v>1326</v>
      </c>
      <c r="J96" s="6">
        <v>1</v>
      </c>
      <c r="K96" s="6">
        <v>1</v>
      </c>
    </row>
    <row r="97" spans="2:13">
      <c r="B97" s="6" t="s">
        <v>1314</v>
      </c>
      <c r="C97" s="6"/>
      <c r="D97" s="6" t="s">
        <v>1320</v>
      </c>
      <c r="E97" s="6" t="s">
        <v>13</v>
      </c>
      <c r="F97" s="6" t="s">
        <v>1320</v>
      </c>
      <c r="G97" s="6" t="s">
        <v>1332</v>
      </c>
      <c r="H97" s="6" t="s">
        <v>13</v>
      </c>
      <c r="I97" s="6" t="s">
        <v>1331</v>
      </c>
      <c r="J97" s="6">
        <v>1</v>
      </c>
      <c r="K97" s="6">
        <v>1</v>
      </c>
    </row>
    <row r="98" spans="2:13" ht="76.5">
      <c r="B98" s="6" t="s">
        <v>1315</v>
      </c>
      <c r="C98" s="6"/>
      <c r="D98" s="6" t="s">
        <v>1350</v>
      </c>
      <c r="E98" s="6" t="s">
        <v>1351</v>
      </c>
      <c r="F98" s="6" t="s">
        <v>1350</v>
      </c>
      <c r="G98" s="6" t="s">
        <v>1981</v>
      </c>
      <c r="H98" s="6" t="s">
        <v>1351</v>
      </c>
      <c r="I98" s="6" t="s">
        <v>1974</v>
      </c>
      <c r="J98" s="6">
        <v>1</v>
      </c>
      <c r="K98" s="6">
        <v>1</v>
      </c>
    </row>
    <row r="99" spans="2:13" ht="51">
      <c r="B99" s="6" t="s">
        <v>1316</v>
      </c>
      <c r="C99" s="6"/>
      <c r="D99" s="6" t="s">
        <v>1354</v>
      </c>
      <c r="E99" s="6" t="s">
        <v>1321</v>
      </c>
      <c r="F99" s="6" t="s">
        <v>1354</v>
      </c>
      <c r="G99" s="6" t="s">
        <v>1978</v>
      </c>
      <c r="H99" s="6" t="s">
        <v>1321</v>
      </c>
      <c r="I99" s="6" t="s">
        <v>1975</v>
      </c>
      <c r="J99" s="6">
        <v>1</v>
      </c>
      <c r="K99" s="6">
        <v>1</v>
      </c>
    </row>
    <row r="100" spans="2:13">
      <c r="B100" s="6" t="s">
        <v>1317</v>
      </c>
      <c r="C100" s="6"/>
      <c r="D100" s="6" t="s">
        <v>209</v>
      </c>
      <c r="E100" s="6" t="s">
        <v>14</v>
      </c>
      <c r="F100" s="6"/>
      <c r="G100" s="6"/>
      <c r="H100" s="6"/>
      <c r="I100" s="6"/>
      <c r="J100" s="6">
        <v>1</v>
      </c>
      <c r="K100" s="6">
        <v>1</v>
      </c>
    </row>
    <row r="101" spans="2:13" ht="76.5">
      <c r="B101" s="6" t="s">
        <v>1318</v>
      </c>
      <c r="C101" s="6"/>
      <c r="D101" s="6" t="s">
        <v>1350</v>
      </c>
      <c r="E101" s="6" t="s">
        <v>1351</v>
      </c>
      <c r="F101" s="6" t="s">
        <v>1350</v>
      </c>
      <c r="G101" s="6" t="s">
        <v>1980</v>
      </c>
      <c r="H101" s="6" t="s">
        <v>1351</v>
      </c>
      <c r="I101" s="6" t="s">
        <v>1976</v>
      </c>
      <c r="J101" s="6">
        <v>1</v>
      </c>
      <c r="K101" s="6">
        <v>1</v>
      </c>
    </row>
    <row r="102" spans="2:13" ht="51">
      <c r="B102" s="6" t="s">
        <v>1319</v>
      </c>
      <c r="C102" s="6"/>
      <c r="D102" s="6" t="s">
        <v>1354</v>
      </c>
      <c r="E102" s="6" t="s">
        <v>1321</v>
      </c>
      <c r="F102" s="6" t="s">
        <v>1354</v>
      </c>
      <c r="G102" s="6" t="s">
        <v>1979</v>
      </c>
      <c r="H102" s="6" t="s">
        <v>1321</v>
      </c>
      <c r="I102" s="6" t="s">
        <v>1977</v>
      </c>
      <c r="J102" s="6">
        <v>1</v>
      </c>
      <c r="K102" s="6">
        <v>1</v>
      </c>
    </row>
    <row r="103" spans="2:13">
      <c r="B103" s="6" t="s">
        <v>1423</v>
      </c>
      <c r="C103" s="6"/>
      <c r="D103" s="6"/>
      <c r="E103" s="6"/>
      <c r="F103" s="6"/>
      <c r="G103" s="6"/>
      <c r="H103" s="6"/>
      <c r="I103" s="6"/>
      <c r="J103" s="6">
        <v>0</v>
      </c>
      <c r="K103" s="6">
        <v>0</v>
      </c>
    </row>
    <row r="104" spans="2:13" ht="89.25">
      <c r="B104" s="851" t="s">
        <v>2453</v>
      </c>
      <c r="C104" s="851"/>
      <c r="D104" s="851" t="s">
        <v>2464</v>
      </c>
      <c r="E104" s="851" t="s">
        <v>2455</v>
      </c>
      <c r="F104" s="851" t="s">
        <v>2463</v>
      </c>
      <c r="G104" s="851" t="s">
        <v>2465</v>
      </c>
      <c r="H104" s="851" t="s">
        <v>2454</v>
      </c>
      <c r="I104" s="851" t="s">
        <v>2462</v>
      </c>
      <c r="J104" s="851">
        <v>1</v>
      </c>
      <c r="K104" s="851">
        <v>1</v>
      </c>
    </row>
    <row r="105" spans="2:13">
      <c r="B105" s="6" t="s">
        <v>1416</v>
      </c>
      <c r="C105" s="6"/>
      <c r="D105" s="6" t="s">
        <v>1417</v>
      </c>
      <c r="E105" s="6" t="s">
        <v>1417</v>
      </c>
      <c r="F105" s="6"/>
      <c r="G105" s="6"/>
      <c r="H105" s="6"/>
      <c r="I105" s="6"/>
      <c r="J105" s="6">
        <v>1</v>
      </c>
      <c r="K105" s="6">
        <v>1</v>
      </c>
      <c r="M105" s="453" t="s">
        <v>1417</v>
      </c>
    </row>
    <row r="106" spans="2:13" ht="38.25">
      <c r="B106" s="6" t="s">
        <v>1418</v>
      </c>
      <c r="C106" s="6"/>
      <c r="D106" s="6" t="s">
        <v>1421</v>
      </c>
      <c r="E106" s="6" t="s">
        <v>1420</v>
      </c>
      <c r="F106" s="6" t="s">
        <v>1421</v>
      </c>
      <c r="G106" s="6" t="s">
        <v>2336</v>
      </c>
      <c r="H106" s="6" t="s">
        <v>1420</v>
      </c>
      <c r="I106" s="6" t="s">
        <v>2332</v>
      </c>
      <c r="J106" s="6">
        <v>1</v>
      </c>
      <c r="K106" s="6">
        <v>1</v>
      </c>
    </row>
    <row r="107" spans="2:13" ht="25.5">
      <c r="B107" s="6" t="s">
        <v>1419</v>
      </c>
      <c r="C107" s="6"/>
      <c r="D107" s="6" t="s">
        <v>2334</v>
      </c>
      <c r="E107" s="6" t="s">
        <v>2333</v>
      </c>
      <c r="F107" s="6" t="s">
        <v>2334</v>
      </c>
      <c r="G107" s="6" t="s">
        <v>2337</v>
      </c>
      <c r="H107" s="6" t="s">
        <v>2333</v>
      </c>
      <c r="I107" s="6" t="s">
        <v>2335</v>
      </c>
      <c r="J107" s="6">
        <v>1</v>
      </c>
      <c r="K107" s="6">
        <v>1</v>
      </c>
    </row>
    <row r="108" spans="2:13">
      <c r="B108" s="6" t="s">
        <v>2250</v>
      </c>
      <c r="C108" s="6"/>
      <c r="D108" s="6" t="s">
        <v>2133</v>
      </c>
      <c r="E108" s="6" t="s">
        <v>202</v>
      </c>
      <c r="F108" s="6"/>
      <c r="G108" s="6"/>
      <c r="H108" s="6"/>
      <c r="I108" s="6"/>
      <c r="J108" s="6">
        <v>1</v>
      </c>
      <c r="K108" s="6">
        <v>1</v>
      </c>
      <c r="M108" s="453" t="s">
        <v>202</v>
      </c>
    </row>
    <row r="109" spans="2:13">
      <c r="B109" s="6" t="s">
        <v>3225</v>
      </c>
      <c r="C109" s="6" t="s">
        <v>3227</v>
      </c>
      <c r="D109" s="6" t="s">
        <v>2086</v>
      </c>
      <c r="E109" s="6" t="s">
        <v>1812</v>
      </c>
      <c r="F109" s="6" t="s">
        <v>2086</v>
      </c>
      <c r="G109" s="6"/>
      <c r="H109" s="6" t="s">
        <v>1812</v>
      </c>
      <c r="I109" s="6"/>
      <c r="J109" s="6">
        <v>1</v>
      </c>
      <c r="K109" s="6">
        <v>1</v>
      </c>
    </row>
    <row r="110" spans="2:13">
      <c r="B110" s="6" t="s">
        <v>2278</v>
      </c>
      <c r="C110" s="6"/>
      <c r="D110" s="6" t="s">
        <v>2261</v>
      </c>
      <c r="E110" s="6" t="s">
        <v>2280</v>
      </c>
      <c r="F110" s="6"/>
      <c r="G110" s="6"/>
      <c r="H110" s="6"/>
      <c r="I110" s="6"/>
      <c r="J110" s="6">
        <v>1</v>
      </c>
      <c r="K110" s="6">
        <v>1</v>
      </c>
      <c r="M110" s="453" t="s">
        <v>2373</v>
      </c>
    </row>
    <row r="111" spans="2:13">
      <c r="B111" s="6" t="s">
        <v>2285</v>
      </c>
      <c r="C111" s="6"/>
      <c r="D111" s="6" t="s">
        <v>2353</v>
      </c>
      <c r="E111" s="6" t="s">
        <v>2351</v>
      </c>
      <c r="F111" s="6" t="s">
        <v>2353</v>
      </c>
      <c r="G111" s="6"/>
      <c r="H111" s="6" t="s">
        <v>2351</v>
      </c>
      <c r="I111" s="6"/>
      <c r="J111" s="6">
        <v>1</v>
      </c>
      <c r="K111" s="6">
        <v>1</v>
      </c>
    </row>
    <row r="112" spans="2:13">
      <c r="B112" s="6" t="s">
        <v>2331</v>
      </c>
      <c r="C112" s="6"/>
      <c r="D112" s="6" t="s">
        <v>2354</v>
      </c>
      <c r="E112" s="6" t="s">
        <v>2352</v>
      </c>
      <c r="F112" s="6" t="s">
        <v>2354</v>
      </c>
      <c r="G112" s="6"/>
      <c r="H112" s="6" t="s">
        <v>2352</v>
      </c>
      <c r="I112" s="6"/>
      <c r="J112" s="6">
        <v>1</v>
      </c>
      <c r="K112" s="6">
        <v>1</v>
      </c>
    </row>
    <row r="113" spans="2:13">
      <c r="B113" s="6" t="s">
        <v>2367</v>
      </c>
      <c r="C113" s="6"/>
      <c r="D113" s="6" t="s">
        <v>761</v>
      </c>
      <c r="E113" s="6" t="s">
        <v>754</v>
      </c>
      <c r="F113" s="6" t="s">
        <v>761</v>
      </c>
      <c r="G113" s="6"/>
      <c r="H113" s="6" t="s">
        <v>754</v>
      </c>
      <c r="I113" s="6"/>
      <c r="J113" s="6">
        <v>1</v>
      </c>
      <c r="K113" s="6">
        <v>1</v>
      </c>
    </row>
    <row r="114" spans="2:13">
      <c r="B114" s="6" t="s">
        <v>2368</v>
      </c>
      <c r="C114" s="6"/>
      <c r="D114" s="6" t="s">
        <v>1395</v>
      </c>
      <c r="E114" s="6" t="s">
        <v>2297</v>
      </c>
      <c r="F114" s="6"/>
      <c r="G114" s="6"/>
      <c r="H114" s="6"/>
      <c r="I114" s="6"/>
      <c r="J114" s="6">
        <v>1</v>
      </c>
      <c r="K114" s="6">
        <v>1</v>
      </c>
    </row>
    <row r="115" spans="2:13">
      <c r="B115" s="6" t="s">
        <v>2369</v>
      </c>
      <c r="C115" s="6"/>
      <c r="D115" s="6" t="s">
        <v>2307</v>
      </c>
      <c r="E115" s="6" t="s">
        <v>2301</v>
      </c>
      <c r="F115" s="6"/>
      <c r="G115" s="6"/>
      <c r="H115" s="6"/>
      <c r="I115" s="6"/>
      <c r="J115" s="6">
        <v>1</v>
      </c>
      <c r="K115" s="6">
        <v>1</v>
      </c>
    </row>
    <row r="116" spans="2:13">
      <c r="B116" s="6" t="s">
        <v>2370</v>
      </c>
      <c r="C116" s="6"/>
      <c r="D116" s="6" t="s">
        <v>2296</v>
      </c>
      <c r="E116" s="6" t="s">
        <v>2296</v>
      </c>
      <c r="F116" s="6"/>
      <c r="G116" s="6"/>
      <c r="H116" s="6"/>
      <c r="I116" s="6"/>
      <c r="J116" s="6">
        <v>1</v>
      </c>
      <c r="K116" s="6">
        <v>1</v>
      </c>
    </row>
    <row r="117" spans="2:13">
      <c r="B117" s="6" t="s">
        <v>2371</v>
      </c>
      <c r="C117" s="6"/>
      <c r="D117" s="6" t="s">
        <v>2308</v>
      </c>
      <c r="E117" s="6" t="s">
        <v>2302</v>
      </c>
      <c r="F117" s="6"/>
      <c r="G117" s="6"/>
      <c r="H117" s="6"/>
      <c r="I117" s="6"/>
      <c r="J117" s="6">
        <v>1</v>
      </c>
      <c r="K117" s="6">
        <v>1</v>
      </c>
    </row>
    <row r="118" spans="2:13">
      <c r="B118" s="6" t="s">
        <v>2372</v>
      </c>
      <c r="C118" s="6"/>
      <c r="D118" s="6" t="s">
        <v>2309</v>
      </c>
      <c r="E118" s="6" t="s">
        <v>2303</v>
      </c>
      <c r="F118" s="6"/>
      <c r="G118" s="6"/>
      <c r="H118" s="6"/>
      <c r="I118" s="6"/>
      <c r="J118" s="6">
        <v>1</v>
      </c>
      <c r="K118" s="6">
        <v>1</v>
      </c>
    </row>
    <row r="119" spans="2:13">
      <c r="B119" s="6" t="s">
        <v>2279</v>
      </c>
      <c r="C119" s="6"/>
      <c r="D119" s="6" t="s">
        <v>2283</v>
      </c>
      <c r="E119" s="6" t="s">
        <v>2281</v>
      </c>
      <c r="F119" s="6"/>
      <c r="G119" s="6"/>
      <c r="H119" s="6"/>
      <c r="I119" s="6"/>
      <c r="J119" s="6">
        <v>1</v>
      </c>
      <c r="K119" s="6">
        <v>1</v>
      </c>
      <c r="M119" s="453" t="s">
        <v>3226</v>
      </c>
    </row>
    <row r="120" spans="2:13" ht="25.5">
      <c r="B120" s="6" t="s">
        <v>2286</v>
      </c>
      <c r="C120" s="6"/>
      <c r="D120" s="6" t="s">
        <v>2287</v>
      </c>
      <c r="E120" s="6" t="s">
        <v>2288</v>
      </c>
      <c r="F120" s="6" t="s">
        <v>2287</v>
      </c>
      <c r="G120" s="6"/>
      <c r="H120" s="6" t="s">
        <v>2288</v>
      </c>
      <c r="I120" s="6"/>
      <c r="J120" s="6">
        <v>1</v>
      </c>
      <c r="K120" s="6">
        <v>1</v>
      </c>
    </row>
    <row r="121" spans="2:13">
      <c r="B121" s="253" t="s">
        <v>799</v>
      </c>
      <c r="C121" s="6"/>
      <c r="D121" s="6"/>
      <c r="E121" s="6"/>
      <c r="F121" s="6"/>
      <c r="G121" s="6"/>
      <c r="H121" s="6"/>
      <c r="I121" s="6"/>
      <c r="J121" s="6">
        <v>0</v>
      </c>
      <c r="K121" s="6">
        <v>0</v>
      </c>
      <c r="M121" s="453" t="s">
        <v>1895</v>
      </c>
    </row>
    <row r="122" spans="2:13" ht="25.5">
      <c r="B122" s="6" t="s">
        <v>1060</v>
      </c>
      <c r="C122" s="6"/>
      <c r="D122" s="6" t="s">
        <v>1061</v>
      </c>
      <c r="E122" s="6" t="s">
        <v>1062</v>
      </c>
      <c r="F122" s="6" t="s">
        <v>1061</v>
      </c>
      <c r="G122" s="6"/>
      <c r="H122" s="6" t="s">
        <v>1062</v>
      </c>
      <c r="I122" s="6"/>
      <c r="J122" s="6">
        <v>0</v>
      </c>
      <c r="K122" s="6">
        <v>0</v>
      </c>
    </row>
    <row r="123" spans="2:13">
      <c r="B123" s="6" t="s">
        <v>919</v>
      </c>
      <c r="C123" s="6"/>
      <c r="D123" s="6" t="s">
        <v>164</v>
      </c>
      <c r="E123" s="6" t="s">
        <v>765</v>
      </c>
      <c r="F123" s="6" t="s">
        <v>164</v>
      </c>
      <c r="G123" s="6"/>
      <c r="H123" s="6" t="s">
        <v>765</v>
      </c>
      <c r="I123" s="6"/>
      <c r="J123" s="6">
        <v>0</v>
      </c>
      <c r="K123" s="6">
        <v>0</v>
      </c>
    </row>
    <row r="124" spans="2:13">
      <c r="B124" s="6" t="s">
        <v>921</v>
      </c>
      <c r="C124" s="6" t="s">
        <v>781</v>
      </c>
      <c r="D124" s="6" t="s">
        <v>923</v>
      </c>
      <c r="E124" s="6" t="s">
        <v>924</v>
      </c>
      <c r="F124" s="6"/>
      <c r="G124" s="6"/>
      <c r="H124" s="6"/>
      <c r="I124" s="6"/>
      <c r="J124" s="6">
        <v>0</v>
      </c>
      <c r="K124" s="6">
        <v>0</v>
      </c>
    </row>
    <row r="125" spans="2:13" ht="25.5">
      <c r="B125" s="6" t="s">
        <v>922</v>
      </c>
      <c r="C125" s="6"/>
      <c r="D125" s="6" t="s">
        <v>925</v>
      </c>
      <c r="E125" s="6" t="s">
        <v>926</v>
      </c>
      <c r="F125" s="6"/>
      <c r="G125" s="6"/>
      <c r="H125" s="6"/>
      <c r="I125" s="6"/>
      <c r="J125" s="6">
        <v>0</v>
      </c>
      <c r="K125" s="6">
        <v>0</v>
      </c>
    </row>
    <row r="126" spans="2:13">
      <c r="B126" s="6" t="s">
        <v>920</v>
      </c>
      <c r="C126" s="6"/>
      <c r="D126" s="6" t="s">
        <v>938</v>
      </c>
      <c r="E126" s="6" t="s">
        <v>937</v>
      </c>
      <c r="F126" s="6" t="s">
        <v>911</v>
      </c>
      <c r="G126" s="6"/>
      <c r="H126" s="6" t="s">
        <v>910</v>
      </c>
      <c r="I126" s="6"/>
      <c r="J126" s="6">
        <v>0</v>
      </c>
      <c r="K126" s="6">
        <v>0</v>
      </c>
    </row>
    <row r="127" spans="2:13">
      <c r="B127" s="6" t="s">
        <v>927</v>
      </c>
      <c r="C127" s="6"/>
      <c r="D127" s="6" t="s">
        <v>34</v>
      </c>
      <c r="E127" s="6" t="s">
        <v>34</v>
      </c>
      <c r="F127" s="6" t="s">
        <v>34</v>
      </c>
      <c r="G127" s="6"/>
      <c r="H127" s="6" t="s">
        <v>34</v>
      </c>
      <c r="I127" s="6"/>
      <c r="J127" s="6">
        <v>0</v>
      </c>
      <c r="K127" s="6">
        <v>0</v>
      </c>
    </row>
    <row r="128" spans="2:13">
      <c r="B128" s="6" t="s">
        <v>928</v>
      </c>
      <c r="C128" s="6" t="s">
        <v>782</v>
      </c>
      <c r="D128" s="6" t="s">
        <v>923</v>
      </c>
      <c r="E128" s="6" t="s">
        <v>924</v>
      </c>
      <c r="F128" s="6"/>
      <c r="G128" s="6"/>
      <c r="H128" s="6"/>
      <c r="I128" s="6"/>
      <c r="J128" s="6">
        <v>0</v>
      </c>
      <c r="K128" s="6">
        <v>0</v>
      </c>
    </row>
    <row r="129" spans="2:13">
      <c r="B129" s="6" t="s">
        <v>935</v>
      </c>
      <c r="C129" s="6"/>
      <c r="D129" s="6" t="s">
        <v>939</v>
      </c>
      <c r="E129" s="6" t="s">
        <v>936</v>
      </c>
      <c r="F129" s="6" t="s">
        <v>939</v>
      </c>
      <c r="G129" s="6"/>
      <c r="H129" s="6" t="s">
        <v>936</v>
      </c>
      <c r="I129" s="6"/>
      <c r="J129" s="6">
        <v>0</v>
      </c>
      <c r="K129" s="6">
        <v>0</v>
      </c>
    </row>
    <row r="130" spans="2:13" ht="25.5">
      <c r="B130" s="6" t="s">
        <v>929</v>
      </c>
      <c r="C130" s="6"/>
      <c r="D130" s="6" t="s">
        <v>925</v>
      </c>
      <c r="E130" s="6" t="s">
        <v>926</v>
      </c>
      <c r="F130" s="6"/>
      <c r="G130" s="6"/>
      <c r="H130" s="6"/>
      <c r="I130" s="6"/>
      <c r="J130" s="6">
        <v>0</v>
      </c>
      <c r="K130" s="6">
        <v>0</v>
      </c>
    </row>
    <row r="131" spans="2:13">
      <c r="B131" s="6" t="s">
        <v>930</v>
      </c>
      <c r="C131" s="6"/>
      <c r="D131" s="6" t="s">
        <v>938</v>
      </c>
      <c r="E131" s="6" t="s">
        <v>937</v>
      </c>
      <c r="F131" s="6" t="s">
        <v>911</v>
      </c>
      <c r="G131" s="6"/>
      <c r="H131" s="6" t="s">
        <v>910</v>
      </c>
      <c r="I131" s="6"/>
      <c r="J131" s="6">
        <v>0</v>
      </c>
      <c r="K131" s="6">
        <v>0</v>
      </c>
    </row>
    <row r="132" spans="2:13">
      <c r="B132" s="6" t="s">
        <v>931</v>
      </c>
      <c r="C132" s="6"/>
      <c r="D132" s="6" t="s">
        <v>624</v>
      </c>
      <c r="E132" s="6" t="s">
        <v>23</v>
      </c>
      <c r="F132" s="6" t="s">
        <v>624</v>
      </c>
      <c r="G132" s="6"/>
      <c r="H132" s="6" t="s">
        <v>23</v>
      </c>
      <c r="I132" s="6"/>
      <c r="J132" s="6">
        <v>0</v>
      </c>
      <c r="K132" s="6">
        <v>0</v>
      </c>
    </row>
    <row r="133" spans="2:13">
      <c r="B133" s="6" t="s">
        <v>932</v>
      </c>
      <c r="C133" s="6" t="s">
        <v>783</v>
      </c>
      <c r="D133" s="6" t="s">
        <v>923</v>
      </c>
      <c r="E133" s="6" t="s">
        <v>924</v>
      </c>
      <c r="F133" s="6"/>
      <c r="G133" s="6"/>
      <c r="H133" s="6"/>
      <c r="I133" s="6"/>
      <c r="J133" s="6">
        <v>0</v>
      </c>
      <c r="K133" s="6">
        <v>0</v>
      </c>
    </row>
    <row r="134" spans="2:13" ht="25.5">
      <c r="B134" s="6" t="s">
        <v>933</v>
      </c>
      <c r="C134" s="6"/>
      <c r="D134" s="6" t="s">
        <v>925</v>
      </c>
      <c r="E134" s="6" t="s">
        <v>926</v>
      </c>
      <c r="F134" s="6"/>
      <c r="G134" s="6"/>
      <c r="H134" s="6"/>
      <c r="I134" s="6"/>
      <c r="J134" s="6">
        <v>0</v>
      </c>
      <c r="K134" s="6">
        <v>0</v>
      </c>
    </row>
    <row r="135" spans="2:13">
      <c r="B135" s="6" t="s">
        <v>934</v>
      </c>
      <c r="C135" s="6"/>
      <c r="D135" s="6" t="s">
        <v>938</v>
      </c>
      <c r="E135" s="6" t="s">
        <v>937</v>
      </c>
      <c r="F135" s="6" t="s">
        <v>911</v>
      </c>
      <c r="G135" s="6"/>
      <c r="H135" s="6" t="s">
        <v>910</v>
      </c>
      <c r="I135" s="6"/>
      <c r="J135" s="6">
        <v>0</v>
      </c>
      <c r="K135" s="6">
        <v>0</v>
      </c>
    </row>
    <row r="136" spans="2:13">
      <c r="B136" s="253" t="s">
        <v>1535</v>
      </c>
      <c r="C136" s="6"/>
      <c r="D136" s="6" t="s">
        <v>800</v>
      </c>
      <c r="E136" s="6" t="s">
        <v>800</v>
      </c>
      <c r="F136" s="6"/>
      <c r="G136" s="6"/>
      <c r="H136" s="6"/>
      <c r="I136" s="6"/>
      <c r="J136" s="6"/>
      <c r="K136" s="6"/>
      <c r="M136" s="453" t="s">
        <v>1894</v>
      </c>
    </row>
    <row r="137" spans="2:13" ht="25.5">
      <c r="B137" s="6" t="s">
        <v>741</v>
      </c>
      <c r="C137" s="6" t="s">
        <v>784</v>
      </c>
      <c r="D137" s="6" t="s">
        <v>1059</v>
      </c>
      <c r="E137" s="6" t="s">
        <v>766</v>
      </c>
      <c r="F137" s="6" t="s">
        <v>1059</v>
      </c>
      <c r="G137" s="6" t="s">
        <v>1868</v>
      </c>
      <c r="H137" s="6" t="s">
        <v>766</v>
      </c>
      <c r="I137" s="6" t="s">
        <v>1869</v>
      </c>
      <c r="J137" s="6"/>
      <c r="K137" s="6"/>
    </row>
    <row r="138" spans="2:13" ht="25.5">
      <c r="B138" s="6" t="s">
        <v>1229</v>
      </c>
      <c r="C138" s="6"/>
      <c r="D138" s="6" t="s">
        <v>1233</v>
      </c>
      <c r="E138" s="6" t="s">
        <v>2282</v>
      </c>
      <c r="F138" s="6" t="s">
        <v>1233</v>
      </c>
      <c r="G138" s="6" t="s">
        <v>1870</v>
      </c>
      <c r="H138" s="6" t="s">
        <v>2282</v>
      </c>
      <c r="I138" s="6" t="s">
        <v>1871</v>
      </c>
      <c r="J138" s="6"/>
      <c r="K138" s="6"/>
    </row>
    <row r="139" spans="2:13" ht="25.5">
      <c r="B139" s="6" t="s">
        <v>1230</v>
      </c>
      <c r="C139" s="6"/>
      <c r="D139" s="6" t="s">
        <v>1232</v>
      </c>
      <c r="E139" s="6" t="s">
        <v>1231</v>
      </c>
      <c r="F139" s="6" t="s">
        <v>1232</v>
      </c>
      <c r="G139" s="6" t="s">
        <v>1872</v>
      </c>
      <c r="H139" s="6" t="s">
        <v>1231</v>
      </c>
      <c r="I139" s="6" t="s">
        <v>1873</v>
      </c>
      <c r="J139" s="6"/>
      <c r="K139" s="6"/>
    </row>
    <row r="140" spans="2:13" ht="38.25">
      <c r="B140" s="6" t="s">
        <v>738</v>
      </c>
      <c r="C140" s="6" t="s">
        <v>781</v>
      </c>
      <c r="D140" s="6" t="s">
        <v>164</v>
      </c>
      <c r="E140" s="6" t="s">
        <v>765</v>
      </c>
      <c r="F140" s="6" t="s">
        <v>164</v>
      </c>
      <c r="G140" s="6" t="s">
        <v>1874</v>
      </c>
      <c r="H140" s="6" t="s">
        <v>765</v>
      </c>
      <c r="I140" s="6" t="s">
        <v>1875</v>
      </c>
      <c r="J140" s="6"/>
      <c r="K140" s="6"/>
    </row>
    <row r="141" spans="2:13">
      <c r="B141" s="6" t="s">
        <v>739</v>
      </c>
      <c r="C141" s="6" t="s">
        <v>782</v>
      </c>
      <c r="D141" s="6" t="s">
        <v>34</v>
      </c>
      <c r="E141" s="6" t="s">
        <v>34</v>
      </c>
      <c r="F141" s="6" t="s">
        <v>34</v>
      </c>
      <c r="G141" s="6" t="s">
        <v>1876</v>
      </c>
      <c r="H141" s="6" t="s">
        <v>34</v>
      </c>
      <c r="I141" s="6" t="s">
        <v>1877</v>
      </c>
      <c r="J141" s="6"/>
      <c r="K141" s="6"/>
    </row>
    <row r="142" spans="2:13">
      <c r="B142" s="6" t="s">
        <v>740</v>
      </c>
      <c r="C142" s="6" t="s">
        <v>783</v>
      </c>
      <c r="D142" s="6" t="s">
        <v>624</v>
      </c>
      <c r="E142" s="6" t="s">
        <v>23</v>
      </c>
      <c r="F142" s="6" t="s">
        <v>624</v>
      </c>
      <c r="G142" s="6" t="s">
        <v>1878</v>
      </c>
      <c r="H142" s="6" t="s">
        <v>23</v>
      </c>
      <c r="I142" s="6" t="s">
        <v>1879</v>
      </c>
      <c r="J142" s="6"/>
      <c r="K142" s="6"/>
    </row>
    <row r="143" spans="2:13">
      <c r="B143" s="6" t="s">
        <v>742</v>
      </c>
      <c r="C143" s="6"/>
      <c r="D143" s="6" t="s">
        <v>884</v>
      </c>
      <c r="E143" s="6" t="s">
        <v>884</v>
      </c>
      <c r="F143" s="6"/>
      <c r="G143" s="6"/>
      <c r="H143" s="6"/>
      <c r="I143" s="6"/>
      <c r="J143" s="6"/>
      <c r="K143" s="6"/>
    </row>
    <row r="144" spans="2:13">
      <c r="B144" s="6" t="s">
        <v>829</v>
      </c>
      <c r="C144" s="6" t="s">
        <v>785</v>
      </c>
      <c r="D144" s="6" t="s">
        <v>830</v>
      </c>
      <c r="E144" s="6" t="s">
        <v>833</v>
      </c>
      <c r="F144" s="6" t="s">
        <v>976</v>
      </c>
      <c r="G144" s="6" t="s">
        <v>1880</v>
      </c>
      <c r="H144" s="6" t="s">
        <v>831</v>
      </c>
      <c r="I144" s="6" t="s">
        <v>1881</v>
      </c>
      <c r="J144" s="6"/>
      <c r="K144" s="6"/>
    </row>
    <row r="145" spans="2:13">
      <c r="B145" s="6" t="s">
        <v>743</v>
      </c>
      <c r="C145" s="6" t="s">
        <v>786</v>
      </c>
      <c r="D145" s="6" t="s">
        <v>768</v>
      </c>
      <c r="E145" s="6" t="s">
        <v>767</v>
      </c>
      <c r="F145" s="6" t="s">
        <v>977</v>
      </c>
      <c r="G145" s="6" t="s">
        <v>1882</v>
      </c>
      <c r="H145" s="6" t="s">
        <v>832</v>
      </c>
      <c r="I145" s="6" t="s">
        <v>1883</v>
      </c>
      <c r="J145" s="6"/>
      <c r="K145" s="6"/>
    </row>
    <row r="146" spans="2:13">
      <c r="B146" s="253" t="s">
        <v>912</v>
      </c>
      <c r="C146" s="6"/>
      <c r="D146" s="6" t="s">
        <v>819</v>
      </c>
      <c r="E146" s="6" t="s">
        <v>820</v>
      </c>
      <c r="F146" s="6"/>
      <c r="G146" s="6"/>
      <c r="H146" s="6"/>
      <c r="I146" s="6"/>
      <c r="J146" s="6">
        <v>0</v>
      </c>
      <c r="K146" s="6">
        <v>0</v>
      </c>
      <c r="M146" s="453" t="s">
        <v>820</v>
      </c>
    </row>
    <row r="147" spans="2:13" ht="63.75">
      <c r="B147" s="6" t="s">
        <v>817</v>
      </c>
      <c r="C147" s="6"/>
      <c r="D147" s="6" t="s">
        <v>744</v>
      </c>
      <c r="E147" s="6" t="s">
        <v>744</v>
      </c>
      <c r="F147" s="6" t="s">
        <v>978</v>
      </c>
      <c r="G147" s="6" t="s">
        <v>1817</v>
      </c>
      <c r="H147" s="6" t="s">
        <v>826</v>
      </c>
      <c r="I147" s="6" t="s">
        <v>1248</v>
      </c>
      <c r="J147" s="6">
        <v>0</v>
      </c>
      <c r="K147" s="6">
        <v>0</v>
      </c>
    </row>
    <row r="148" spans="2:13" ht="51">
      <c r="B148" s="6" t="s">
        <v>745</v>
      </c>
      <c r="C148" s="6"/>
      <c r="D148" s="6" t="s">
        <v>770</v>
      </c>
      <c r="E148" s="6" t="s">
        <v>769</v>
      </c>
      <c r="F148" s="6" t="s">
        <v>979</v>
      </c>
      <c r="G148" s="6" t="s">
        <v>1818</v>
      </c>
      <c r="H148" s="6" t="s">
        <v>827</v>
      </c>
      <c r="I148" s="6" t="s">
        <v>1247</v>
      </c>
      <c r="J148" s="6">
        <v>0</v>
      </c>
      <c r="K148" s="6">
        <v>0</v>
      </c>
    </row>
    <row r="149" spans="2:13" ht="51">
      <c r="B149" s="6" t="s">
        <v>746</v>
      </c>
      <c r="C149" s="6"/>
      <c r="D149" s="6" t="s">
        <v>3199</v>
      </c>
      <c r="E149" s="6" t="s">
        <v>771</v>
      </c>
      <c r="F149" s="6" t="s">
        <v>980</v>
      </c>
      <c r="G149" s="6" t="s">
        <v>1819</v>
      </c>
      <c r="H149" s="6" t="s">
        <v>828</v>
      </c>
      <c r="I149" s="6" t="s">
        <v>1246</v>
      </c>
      <c r="J149" s="6">
        <v>0</v>
      </c>
      <c r="K149" s="6">
        <v>0</v>
      </c>
    </row>
    <row r="150" spans="2:13" ht="25.5">
      <c r="B150" s="6" t="s">
        <v>747</v>
      </c>
      <c r="C150" s="6" t="s">
        <v>787</v>
      </c>
      <c r="D150" s="6" t="s">
        <v>748</v>
      </c>
      <c r="E150" s="6" t="s">
        <v>748</v>
      </c>
      <c r="F150" s="6" t="s">
        <v>981</v>
      </c>
      <c r="G150" s="6" t="s">
        <v>982</v>
      </c>
      <c r="H150" s="6" t="s">
        <v>840</v>
      </c>
      <c r="I150" s="6" t="s">
        <v>839</v>
      </c>
      <c r="J150" s="6">
        <v>0</v>
      </c>
      <c r="K150" s="6">
        <v>0</v>
      </c>
    </row>
    <row r="151" spans="2:13" ht="25.5">
      <c r="B151" s="6" t="s">
        <v>1933</v>
      </c>
      <c r="C151" s="6"/>
      <c r="D151" s="6" t="s">
        <v>1534</v>
      </c>
      <c r="E151" s="6" t="s">
        <v>1534</v>
      </c>
      <c r="F151" s="6" t="s">
        <v>1534</v>
      </c>
      <c r="G151" s="6" t="s">
        <v>1944</v>
      </c>
      <c r="H151" s="6" t="s">
        <v>1534</v>
      </c>
      <c r="I151" s="6" t="s">
        <v>1945</v>
      </c>
      <c r="J151" s="6">
        <v>0</v>
      </c>
      <c r="K151" s="6">
        <v>0</v>
      </c>
    </row>
    <row r="152" spans="2:13" ht="25.5">
      <c r="B152" s="6" t="s">
        <v>1934</v>
      </c>
      <c r="C152" s="6"/>
      <c r="D152" s="6" t="s">
        <v>1937</v>
      </c>
      <c r="E152" s="6" t="s">
        <v>1936</v>
      </c>
      <c r="F152" s="6" t="s">
        <v>1937</v>
      </c>
      <c r="G152" s="6" t="s">
        <v>1935</v>
      </c>
      <c r="H152" s="6" t="s">
        <v>1936</v>
      </c>
      <c r="I152" s="6" t="s">
        <v>1943</v>
      </c>
      <c r="J152" s="6">
        <v>0</v>
      </c>
      <c r="K152" s="6">
        <v>0</v>
      </c>
    </row>
    <row r="153" spans="2:13">
      <c r="B153" s="6" t="s">
        <v>2479</v>
      </c>
      <c r="C153" s="6"/>
      <c r="D153" s="6" t="s">
        <v>2480</v>
      </c>
      <c r="E153" s="6" t="s">
        <v>2480</v>
      </c>
      <c r="F153" s="6" t="s">
        <v>2480</v>
      </c>
      <c r="G153" s="6"/>
      <c r="H153" s="6" t="s">
        <v>2480</v>
      </c>
      <c r="I153" s="6"/>
      <c r="J153" s="6">
        <v>0</v>
      </c>
      <c r="K153" s="6">
        <v>0</v>
      </c>
      <c r="M153" s="4"/>
    </row>
    <row r="154" spans="2:13" ht="25.5">
      <c r="B154" s="6" t="s">
        <v>2633</v>
      </c>
      <c r="C154" s="6" t="s">
        <v>2631</v>
      </c>
      <c r="D154" s="6" t="s">
        <v>2629</v>
      </c>
      <c r="E154" s="6" t="s">
        <v>2632</v>
      </c>
      <c r="F154" s="6" t="str">
        <f>XML[[#This Row],[Label EN]]</f>
        <v>Export to PowerPoint …</v>
      </c>
      <c r="G154" s="6"/>
      <c r="H154" s="6" t="str">
        <f>XML[[#This Row],[Label DE]]</f>
        <v>Nach PowerPoint exportieren …</v>
      </c>
      <c r="I154" s="6"/>
      <c r="J154" s="6">
        <v>0</v>
      </c>
      <c r="K154" s="6">
        <v>0</v>
      </c>
    </row>
    <row r="155" spans="2:13">
      <c r="B155" s="6" t="s">
        <v>3933</v>
      </c>
      <c r="C155" s="6" t="s">
        <v>3928</v>
      </c>
      <c r="D155" s="6" t="s">
        <v>2630</v>
      </c>
      <c r="E155" s="6" t="s">
        <v>2634</v>
      </c>
      <c r="F155" s="6" t="str">
        <f>XML[[#This Row],[Label EN]]</f>
        <v>Export to CBD …</v>
      </c>
      <c r="G155" s="6"/>
      <c r="H155" s="6" t="str">
        <f>XML[[#This Row],[Label DE]]</f>
        <v>In CBD exportieren …</v>
      </c>
      <c r="I155" s="6"/>
      <c r="J155" s="6">
        <v>0</v>
      </c>
      <c r="K155" s="6">
        <v>0</v>
      </c>
    </row>
    <row r="156" spans="2:13">
      <c r="B156" s="6" t="s">
        <v>3929</v>
      </c>
      <c r="C156" s="6" t="s">
        <v>3930</v>
      </c>
      <c r="D156" s="6" t="s">
        <v>3931</v>
      </c>
      <c r="E156" s="6" t="s">
        <v>3932</v>
      </c>
      <c r="F156" s="6" t="str">
        <f>XML[[#This Row],[Label EN]]</f>
        <v>Export to QAF …</v>
      </c>
      <c r="G156" s="6"/>
      <c r="H156" s="6" t="str">
        <f>XML[[#This Row],[Label DE]]</f>
        <v>In QAF exportieren …</v>
      </c>
      <c r="I156" s="6"/>
      <c r="J156" s="6">
        <v>0</v>
      </c>
      <c r="K156" s="6">
        <v>0</v>
      </c>
    </row>
    <row r="157" spans="2:13">
      <c r="B157" s="854" t="s">
        <v>2635</v>
      </c>
      <c r="C157" s="854" t="s">
        <v>2641</v>
      </c>
      <c r="D157" s="854" t="s">
        <v>2636</v>
      </c>
      <c r="E157" s="854" t="s">
        <v>2637</v>
      </c>
      <c r="F157" s="854" t="str">
        <f>XML[[#This Row],[Label EN]]</f>
        <v>Open Labelmaker</v>
      </c>
      <c r="G157" s="854"/>
      <c r="H157" s="854" t="str">
        <f>XML[[#This Row],[Label DE]]</f>
        <v>Labelmaker öffnen</v>
      </c>
      <c r="I157" s="854"/>
      <c r="J157" s="854">
        <v>0</v>
      </c>
      <c r="K157" s="854">
        <v>0</v>
      </c>
    </row>
    <row r="158" spans="2:13" ht="89.25">
      <c r="B158" s="6" t="s">
        <v>1940</v>
      </c>
      <c r="C158" s="6" t="s">
        <v>773</v>
      </c>
      <c r="D158" s="6" t="s">
        <v>1113</v>
      </c>
      <c r="E158" s="6" t="s">
        <v>723</v>
      </c>
      <c r="F158" s="6" t="s">
        <v>965</v>
      </c>
      <c r="G158" s="6" t="s">
        <v>1816</v>
      </c>
      <c r="H158" s="6" t="s">
        <v>723</v>
      </c>
      <c r="I158" s="6" t="s">
        <v>1815</v>
      </c>
      <c r="J158" s="6">
        <v>0</v>
      </c>
      <c r="K158" s="6">
        <v>0</v>
      </c>
    </row>
    <row r="159" spans="2:13">
      <c r="B159" s="253" t="s">
        <v>3836</v>
      </c>
      <c r="C159" s="6"/>
      <c r="D159" s="6" t="s">
        <v>3835</v>
      </c>
      <c r="E159" s="6" t="s">
        <v>3835</v>
      </c>
      <c r="F159" s="6"/>
      <c r="G159" s="6"/>
      <c r="H159" s="6"/>
      <c r="I159" s="6"/>
      <c r="J159" s="6">
        <v>0</v>
      </c>
      <c r="K159" s="6">
        <v>0</v>
      </c>
      <c r="M159" s="453" t="s">
        <v>3835</v>
      </c>
    </row>
    <row r="160" spans="2:13" ht="102">
      <c r="B160" s="6" t="s">
        <v>3854</v>
      </c>
      <c r="C160" s="6" t="s">
        <v>3886</v>
      </c>
      <c r="D160" s="6" t="s">
        <v>3855</v>
      </c>
      <c r="E160" s="6" t="s">
        <v>3866</v>
      </c>
      <c r="F160" s="6" t="s">
        <v>3859</v>
      </c>
      <c r="G160" s="6"/>
      <c r="H160" s="6" t="s">
        <v>3860</v>
      </c>
      <c r="I160" s="6" t="s">
        <v>3908</v>
      </c>
      <c r="J160" s="6">
        <v>0</v>
      </c>
      <c r="K160" s="6">
        <v>0</v>
      </c>
    </row>
    <row r="161" spans="2:13" ht="102">
      <c r="B161" s="1113" t="s">
        <v>3856</v>
      </c>
      <c r="C161" s="6" t="str">
        <f t="shared" ref="C161:I161" si="18">C160</f>
        <v>CalculateThisWorkbookOnlyCallback</v>
      </c>
      <c r="D161" s="6" t="str">
        <f t="shared" si="18"/>
        <v>Calculate</v>
      </c>
      <c r="E161" s="6" t="str">
        <f t="shared" si="18"/>
        <v>Berechnen</v>
      </c>
      <c r="F161" s="6" t="str">
        <f t="shared" si="18"/>
        <v>Calculate this workbook</v>
      </c>
      <c r="G161" s="6">
        <f t="shared" si="18"/>
        <v>0</v>
      </c>
      <c r="H161" s="6" t="str">
        <f t="shared" si="18"/>
        <v>Diese Arbeitsmappe neu berechnen</v>
      </c>
      <c r="I161" s="6" t="str">
        <f t="shared" si="18"/>
        <v>Berechnet nur diese Arbeitsmappe neu.
Ausgehend vom aktiven Arbeitsblatt werden nur die Arbeitsblätter neu berechnet, die gemäß der Kalkulationslogik berechnet werden müssen.
Achtung: Bei abweichender individueller Logik kann es vorkommen, dass nicht alle Änderungen korrekt berechnet werden. Dies kann aber jederzeit über den Button "Alles neu berechnen" nachgeholt werden.</v>
      </c>
      <c r="J161" s="6">
        <v>0</v>
      </c>
      <c r="K161" s="6">
        <v>0</v>
      </c>
    </row>
    <row r="162" spans="2:13" ht="102">
      <c r="B162" s="1113" t="s">
        <v>3861</v>
      </c>
      <c r="C162" s="6" t="s">
        <v>3867</v>
      </c>
      <c r="D162" s="6" t="s">
        <v>3862</v>
      </c>
      <c r="E162" s="6" t="s">
        <v>3905</v>
      </c>
      <c r="F162" s="6" t="s">
        <v>3907</v>
      </c>
      <c r="G162" s="1113"/>
      <c r="H162" s="6" t="s">
        <v>3906</v>
      </c>
      <c r="I162" s="1113" t="s">
        <v>3909</v>
      </c>
      <c r="J162" s="6">
        <v>0</v>
      </c>
      <c r="K162" s="6">
        <v>0</v>
      </c>
    </row>
    <row r="163" spans="2:13">
      <c r="B163" s="1113" t="s">
        <v>3857</v>
      </c>
      <c r="C163" s="1113"/>
      <c r="D163" s="6" t="s">
        <v>3871</v>
      </c>
      <c r="E163" s="6" t="s">
        <v>3863</v>
      </c>
      <c r="F163" s="6"/>
      <c r="G163" s="6"/>
      <c r="H163" s="6" t="s">
        <v>3864</v>
      </c>
      <c r="I163" s="6"/>
      <c r="J163" s="6">
        <v>0</v>
      </c>
      <c r="K163" s="6">
        <v>0</v>
      </c>
    </row>
    <row r="164" spans="2:13" ht="25.5">
      <c r="B164" s="1113" t="s">
        <v>3858</v>
      </c>
      <c r="C164" s="1113"/>
      <c r="D164" s="6" t="s">
        <v>3872</v>
      </c>
      <c r="E164" s="6" t="s">
        <v>3873</v>
      </c>
      <c r="F164" s="6"/>
      <c r="G164" s="6"/>
      <c r="H164" s="6" t="s">
        <v>3874</v>
      </c>
      <c r="I164" s="6"/>
      <c r="J164" s="6">
        <v>0</v>
      </c>
      <c r="K164" s="6">
        <v>0</v>
      </c>
    </row>
    <row r="165" spans="2:13" ht="13.5" thickBot="1">
      <c r="B165" s="1113" t="s">
        <v>3870</v>
      </c>
      <c r="C165" s="1113"/>
      <c r="D165" s="6" t="s">
        <v>3875</v>
      </c>
      <c r="E165" s="6" t="s">
        <v>3299</v>
      </c>
      <c r="F165" s="6"/>
      <c r="G165" s="6"/>
      <c r="H165" s="6" t="s">
        <v>3865</v>
      </c>
      <c r="I165" s="6"/>
      <c r="J165" s="6">
        <v>0</v>
      </c>
      <c r="K165" s="6">
        <v>0</v>
      </c>
    </row>
    <row r="166" spans="2:13">
      <c r="B166" s="910" t="s">
        <v>3887</v>
      </c>
      <c r="C166" s="910"/>
      <c r="D166" s="910" t="s">
        <v>3869</v>
      </c>
      <c r="E166" s="910" t="s">
        <v>3868</v>
      </c>
      <c r="F166" s="910" t="s">
        <v>3869</v>
      </c>
      <c r="G166" s="910"/>
      <c r="H166" s="910" t="s">
        <v>3868</v>
      </c>
      <c r="I166" s="910"/>
      <c r="J166" s="910">
        <v>0</v>
      </c>
      <c r="K166" s="910">
        <v>0</v>
      </c>
    </row>
    <row r="167" spans="2:13" ht="25.5">
      <c r="B167" s="1113" t="s">
        <v>3888</v>
      </c>
      <c r="C167" s="6" t="s">
        <v>3880</v>
      </c>
      <c r="D167" s="1113" t="s">
        <v>2464</v>
      </c>
      <c r="E167" s="1113" t="s">
        <v>2464</v>
      </c>
      <c r="F167" s="6" t="s">
        <v>3837</v>
      </c>
      <c r="G167" s="1113"/>
      <c r="H167" s="6" t="s">
        <v>3838</v>
      </c>
      <c r="I167" s="1113"/>
      <c r="J167" s="6">
        <v>0</v>
      </c>
      <c r="K167" s="6">
        <v>0</v>
      </c>
    </row>
    <row r="168" spans="2:13" ht="51">
      <c r="B168" s="1113" t="s">
        <v>3839</v>
      </c>
      <c r="C168" s="1113"/>
      <c r="D168" s="6" t="s">
        <v>3896</v>
      </c>
      <c r="E168" s="6" t="s">
        <v>3892</v>
      </c>
      <c r="F168" s="6" t="s">
        <v>3896</v>
      </c>
      <c r="G168" s="6"/>
      <c r="H168" s="6" t="s">
        <v>3892</v>
      </c>
      <c r="I168" s="6" t="s">
        <v>3904</v>
      </c>
      <c r="J168" s="6">
        <v>0</v>
      </c>
      <c r="K168" s="6">
        <v>0</v>
      </c>
    </row>
    <row r="169" spans="2:13" ht="127.5">
      <c r="B169" s="1113" t="s">
        <v>3844</v>
      </c>
      <c r="C169" s="1113"/>
      <c r="D169" s="6" t="s">
        <v>3898</v>
      </c>
      <c r="E169" s="6" t="s">
        <v>3895</v>
      </c>
      <c r="F169" s="6" t="s">
        <v>3898</v>
      </c>
      <c r="G169" s="6"/>
      <c r="H169" s="6" t="s">
        <v>3895</v>
      </c>
      <c r="I169" s="6" t="s">
        <v>3902</v>
      </c>
      <c r="J169" s="6">
        <v>0</v>
      </c>
      <c r="K169" s="6">
        <v>0</v>
      </c>
    </row>
    <row r="170" spans="2:13">
      <c r="B170" s="1113" t="s">
        <v>3894</v>
      </c>
      <c r="C170" s="1113"/>
      <c r="D170" s="1113" t="s">
        <v>879</v>
      </c>
      <c r="E170" s="1113" t="s">
        <v>1798</v>
      </c>
      <c r="F170" s="1113" t="s">
        <v>879</v>
      </c>
      <c r="G170" s="1113"/>
      <c r="H170" s="1113" t="s">
        <v>1798</v>
      </c>
      <c r="I170" s="1113"/>
      <c r="J170" s="1113"/>
      <c r="K170" s="1113"/>
    </row>
    <row r="171" spans="2:13" ht="102">
      <c r="B171" s="1113" t="s">
        <v>3890</v>
      </c>
      <c r="C171" s="1113"/>
      <c r="D171" s="6" t="s">
        <v>3840</v>
      </c>
      <c r="E171" s="6" t="s">
        <v>3841</v>
      </c>
      <c r="F171" s="6" t="s">
        <v>3840</v>
      </c>
      <c r="G171" s="6" t="s">
        <v>3842</v>
      </c>
      <c r="H171" s="6" t="s">
        <v>3841</v>
      </c>
      <c r="I171" s="6" t="s">
        <v>3843</v>
      </c>
      <c r="J171" s="6">
        <v>0</v>
      </c>
      <c r="K171" s="6">
        <v>0</v>
      </c>
    </row>
    <row r="172" spans="2:13" ht="76.5">
      <c r="B172" s="1113" t="s">
        <v>3891</v>
      </c>
      <c r="C172" s="1113"/>
      <c r="D172" s="6" t="s">
        <v>3845</v>
      </c>
      <c r="E172" s="6" t="s">
        <v>3846</v>
      </c>
      <c r="F172" s="6" t="s">
        <v>3845</v>
      </c>
      <c r="G172" s="6" t="s">
        <v>3847</v>
      </c>
      <c r="H172" s="6" t="s">
        <v>3846</v>
      </c>
      <c r="I172" s="6" t="s">
        <v>3848</v>
      </c>
      <c r="J172" s="6">
        <v>0</v>
      </c>
      <c r="K172" s="6">
        <v>0</v>
      </c>
    </row>
    <row r="173" spans="2:13" ht="114.75">
      <c r="B173" s="1113" t="s">
        <v>3889</v>
      </c>
      <c r="C173" s="1113"/>
      <c r="D173" s="1113" t="s">
        <v>3897</v>
      </c>
      <c r="E173" s="1113" t="s">
        <v>3893</v>
      </c>
      <c r="F173" s="1113" t="s">
        <v>3897</v>
      </c>
      <c r="G173" s="1113"/>
      <c r="H173" s="1113" t="s">
        <v>3893</v>
      </c>
      <c r="I173" s="1113" t="s">
        <v>3903</v>
      </c>
      <c r="J173" s="6">
        <v>0</v>
      </c>
      <c r="K173" s="6">
        <v>0</v>
      </c>
    </row>
    <row r="174" spans="2:13">
      <c r="B174" s="6" t="s">
        <v>847</v>
      </c>
      <c r="C174" s="6"/>
      <c r="D174" s="6" t="s">
        <v>849</v>
      </c>
      <c r="E174" s="6" t="s">
        <v>850</v>
      </c>
      <c r="F174" s="6" t="s">
        <v>851</v>
      </c>
      <c r="G174" s="6"/>
      <c r="H174" s="6" t="s">
        <v>852</v>
      </c>
      <c r="I174" s="6"/>
      <c r="J174" s="6">
        <v>1</v>
      </c>
      <c r="K174" s="6">
        <v>1</v>
      </c>
      <c r="M174" s="453" t="s">
        <v>850</v>
      </c>
    </row>
    <row r="175" spans="2:13" ht="25.5">
      <c r="B175" s="6" t="s">
        <v>1905</v>
      </c>
      <c r="C175" s="6"/>
      <c r="D175" s="6" t="s">
        <v>862</v>
      </c>
      <c r="E175" s="6" t="s">
        <v>863</v>
      </c>
      <c r="F175" s="6" t="s">
        <v>983</v>
      </c>
      <c r="G175" s="6" t="s">
        <v>1888</v>
      </c>
      <c r="H175" s="6" t="s">
        <v>848</v>
      </c>
      <c r="I175" s="6" t="s">
        <v>1889</v>
      </c>
      <c r="J175" s="6">
        <v>1</v>
      </c>
      <c r="K175" s="6">
        <v>1</v>
      </c>
    </row>
    <row r="176" spans="2:13">
      <c r="B176" s="6" t="s">
        <v>1906</v>
      </c>
      <c r="C176" s="6"/>
      <c r="D176" s="6" t="s">
        <v>857</v>
      </c>
      <c r="E176" s="6" t="s">
        <v>853</v>
      </c>
      <c r="F176" s="6" t="s">
        <v>857</v>
      </c>
      <c r="G176" s="6" t="s">
        <v>1890</v>
      </c>
      <c r="H176" s="6" t="s">
        <v>853</v>
      </c>
      <c r="I176" s="6" t="s">
        <v>1891</v>
      </c>
      <c r="J176" s="6">
        <v>0</v>
      </c>
      <c r="K176" s="6">
        <v>0</v>
      </c>
    </row>
    <row r="177" spans="2:13">
      <c r="B177" s="6" t="s">
        <v>1911</v>
      </c>
      <c r="C177" s="6"/>
      <c r="D177" s="6" t="s">
        <v>1802</v>
      </c>
      <c r="E177" s="6" t="s">
        <v>1802</v>
      </c>
      <c r="F177" s="6" t="s">
        <v>1802</v>
      </c>
      <c r="G177" s="6" t="s">
        <v>1892</v>
      </c>
      <c r="H177" s="6" t="s">
        <v>1802</v>
      </c>
      <c r="I177" s="6" t="s">
        <v>1893</v>
      </c>
      <c r="J177" s="6">
        <v>0</v>
      </c>
      <c r="K177" s="6">
        <v>0</v>
      </c>
    </row>
    <row r="178" spans="2:13">
      <c r="B178" s="6" t="s">
        <v>1907</v>
      </c>
      <c r="C178" s="6" t="s">
        <v>858</v>
      </c>
      <c r="D178" s="6" t="s">
        <v>854</v>
      </c>
      <c r="E178" s="6" t="s">
        <v>855</v>
      </c>
      <c r="F178" s="6"/>
      <c r="G178" s="6"/>
      <c r="H178" s="6"/>
      <c r="I178" s="6"/>
      <c r="J178" s="6">
        <v>1</v>
      </c>
      <c r="K178" s="6">
        <v>1</v>
      </c>
    </row>
    <row r="179" spans="2:13" ht="63.75">
      <c r="B179" s="6" t="s">
        <v>1908</v>
      </c>
      <c r="C179" s="6" t="s">
        <v>748</v>
      </c>
      <c r="D179" s="6" t="s">
        <v>891</v>
      </c>
      <c r="E179" s="6" t="s">
        <v>890</v>
      </c>
      <c r="F179" s="6" t="s">
        <v>892</v>
      </c>
      <c r="G179" s="6" t="s">
        <v>1904</v>
      </c>
      <c r="H179" s="6" t="s">
        <v>893</v>
      </c>
      <c r="I179" s="6" t="s">
        <v>1903</v>
      </c>
      <c r="J179" s="6">
        <v>1</v>
      </c>
      <c r="K179" s="6">
        <v>1</v>
      </c>
    </row>
    <row r="180" spans="2:13" ht="114.75">
      <c r="B180" s="6" t="s">
        <v>1909</v>
      </c>
      <c r="C180" s="6"/>
      <c r="D180" s="6" t="s">
        <v>1811</v>
      </c>
      <c r="E180" s="6" t="s">
        <v>1810</v>
      </c>
      <c r="F180" s="6" t="s">
        <v>984</v>
      </c>
      <c r="G180" s="6" t="s">
        <v>1929</v>
      </c>
      <c r="H180" s="6" t="s">
        <v>895</v>
      </c>
      <c r="I180" s="6" t="s">
        <v>1928</v>
      </c>
      <c r="J180" s="6">
        <v>0</v>
      </c>
      <c r="K180" s="6">
        <v>0</v>
      </c>
    </row>
    <row r="181" spans="2:13">
      <c r="B181" s="6" t="s">
        <v>1910</v>
      </c>
      <c r="C181" s="6" t="s">
        <v>3237</v>
      </c>
      <c r="D181" s="6" t="s">
        <v>856</v>
      </c>
      <c r="E181" s="6" t="s">
        <v>856</v>
      </c>
      <c r="F181" s="6" t="str">
        <f>"ACT Version "&amp;Version</f>
        <v>ACT Version 6.2.3-000</v>
      </c>
      <c r="G181" s="6"/>
      <c r="H181" s="6" t="str">
        <f>"ACT Version "&amp;Version</f>
        <v>ACT Version 6.2.3-000</v>
      </c>
      <c r="I181" s="6"/>
      <c r="J181" s="6">
        <v>1</v>
      </c>
      <c r="K181" s="6">
        <v>1</v>
      </c>
    </row>
    <row r="182" spans="2:13">
      <c r="B182" s="853" t="s">
        <v>2466</v>
      </c>
      <c r="C182" s="6" t="s">
        <v>3237</v>
      </c>
      <c r="D182" s="853"/>
      <c r="E182" s="853"/>
      <c r="F182" s="6" t="str">
        <f>"ACT Version "&amp;Version</f>
        <v>ACT Version 6.2.3-000</v>
      </c>
      <c r="G182" s="853"/>
      <c r="H182" s="6" t="str">
        <f>"ACT Version "&amp;Version</f>
        <v>ACT Version 6.2.3-000</v>
      </c>
      <c r="I182" s="853"/>
      <c r="J182" s="6">
        <v>1</v>
      </c>
      <c r="K182" s="6">
        <v>1</v>
      </c>
    </row>
    <row r="183" spans="2:13" ht="38.25">
      <c r="B183" s="1094" t="s">
        <v>3379</v>
      </c>
      <c r="C183" s="1094" t="s">
        <v>3380</v>
      </c>
      <c r="D183" s="1094" t="s">
        <v>3387</v>
      </c>
      <c r="E183" s="1094" t="s">
        <v>3386</v>
      </c>
      <c r="F183" s="1094" t="s">
        <v>3389</v>
      </c>
      <c r="G183" s="1094" t="s">
        <v>3382</v>
      </c>
      <c r="H183" s="1094" t="s">
        <v>3388</v>
      </c>
      <c r="I183" s="1094" t="s">
        <v>3381</v>
      </c>
      <c r="J183" s="6">
        <v>1</v>
      </c>
      <c r="K183" s="6">
        <v>1</v>
      </c>
    </row>
    <row r="184" spans="2:13" ht="25.5">
      <c r="B184" s="1094" t="s">
        <v>3672</v>
      </c>
      <c r="C184" s="1094" t="s">
        <v>3673</v>
      </c>
      <c r="D184" s="1094" t="s">
        <v>3674</v>
      </c>
      <c r="E184" s="1094" t="s">
        <v>3675</v>
      </c>
      <c r="F184" s="1094" t="s">
        <v>3676</v>
      </c>
      <c r="G184" s="1094" t="s">
        <v>3677</v>
      </c>
      <c r="H184" s="1094" t="s">
        <v>3678</v>
      </c>
      <c r="I184" s="1094" t="s">
        <v>3679</v>
      </c>
      <c r="J184" s="6">
        <v>1</v>
      </c>
      <c r="K184" s="6">
        <v>1</v>
      </c>
    </row>
    <row r="185" spans="2:13">
      <c r="B185" s="253" t="s">
        <v>3787</v>
      </c>
      <c r="C185" s="6"/>
      <c r="D185" s="6"/>
      <c r="E185" s="6"/>
      <c r="F185" s="6"/>
      <c r="G185" s="6"/>
      <c r="H185" s="6"/>
      <c r="I185" s="6"/>
      <c r="J185" s="6"/>
      <c r="K185" s="6"/>
      <c r="M185" s="453" t="s">
        <v>3782</v>
      </c>
    </row>
    <row r="186" spans="2:13">
      <c r="B186" s="1103" t="s">
        <v>3788</v>
      </c>
      <c r="C186" s="1103"/>
      <c r="D186" s="1103" t="s">
        <v>3806</v>
      </c>
      <c r="E186" s="1103" t="s">
        <v>3806</v>
      </c>
      <c r="F186" s="1103"/>
      <c r="G186" s="1103"/>
      <c r="H186" s="1103"/>
      <c r="I186" s="1103"/>
      <c r="J186" s="1103">
        <v>1</v>
      </c>
      <c r="K186" s="1103">
        <v>1</v>
      </c>
    </row>
    <row r="187" spans="2:13" ht="63.75">
      <c r="B187" s="1103" t="s">
        <v>3789</v>
      </c>
      <c r="C187" s="1103" t="s">
        <v>3799</v>
      </c>
      <c r="D187" s="1103" t="s">
        <v>3790</v>
      </c>
      <c r="E187" s="1103" t="s">
        <v>3791</v>
      </c>
      <c r="F187" s="1103" t="s">
        <v>3790</v>
      </c>
      <c r="G187" s="1103" t="s">
        <v>3793</v>
      </c>
      <c r="H187" s="1103" t="s">
        <v>3791</v>
      </c>
      <c r="I187" s="1103" t="s">
        <v>3792</v>
      </c>
      <c r="J187" s="1103">
        <v>1</v>
      </c>
      <c r="K187" s="1103">
        <v>1</v>
      </c>
    </row>
    <row r="188" spans="2:13" ht="25.5">
      <c r="B188" s="1103" t="s">
        <v>3804</v>
      </c>
      <c r="C188" s="1103"/>
      <c r="D188" s="1103" t="s">
        <v>3807</v>
      </c>
      <c r="E188" s="1103" t="s">
        <v>3808</v>
      </c>
      <c r="F188" s="1103" t="s">
        <v>3807</v>
      </c>
      <c r="G188" s="1103" t="s">
        <v>3810</v>
      </c>
      <c r="H188" s="1103" t="s">
        <v>3808</v>
      </c>
      <c r="I188" s="1103" t="s">
        <v>3811</v>
      </c>
      <c r="J188" s="1103">
        <v>1</v>
      </c>
      <c r="K188" s="1103">
        <v>1</v>
      </c>
    </row>
    <row r="189" spans="2:13">
      <c r="B189" s="1103" t="s">
        <v>3805</v>
      </c>
      <c r="C189" s="1103"/>
      <c r="D189" s="1103" t="s">
        <v>3812</v>
      </c>
      <c r="E189" s="1103" t="s">
        <v>3809</v>
      </c>
      <c r="F189" s="1103" t="s">
        <v>3812</v>
      </c>
      <c r="G189" s="1103" t="s">
        <v>3814</v>
      </c>
      <c r="H189" s="1103" t="s">
        <v>3809</v>
      </c>
      <c r="I189" s="1103" t="s">
        <v>3813</v>
      </c>
      <c r="J189" s="1103">
        <v>1</v>
      </c>
      <c r="K189" s="1103">
        <v>1</v>
      </c>
    </row>
  </sheetData>
  <phoneticPr fontId="41" type="noConversion"/>
  <conditionalFormatting sqref="B22:C22 E22 G22 C20:C21 I22:K22 J20:K21 B4:K15 J182:K182 B181:E181 G181 I181:K181 C182 B18:K18 B59:K107 B121:K180 B24:K56">
    <cfRule type="expression" dxfId="390" priority="212">
      <formula>_xlfn.ISFORMULA(B4)</formula>
    </cfRule>
  </conditionalFormatting>
  <conditionalFormatting sqref="C138 F138:I138">
    <cfRule type="expression" dxfId="389" priority="209">
      <formula>_xlfn.ISFORMULA(C138)</formula>
    </cfRule>
  </conditionalFormatting>
  <conditionalFormatting sqref="E139">
    <cfRule type="expression" dxfId="388" priority="208">
      <formula>_xlfn.ISFORMULA(E139)</formula>
    </cfRule>
  </conditionalFormatting>
  <conditionalFormatting sqref="E138">
    <cfRule type="expression" dxfId="387" priority="207">
      <formula>_xlfn.ISFORMULA(E138)</formula>
    </cfRule>
  </conditionalFormatting>
  <conditionalFormatting sqref="D139">
    <cfRule type="expression" dxfId="386" priority="206">
      <formula>_xlfn.ISFORMULA(D139)</formula>
    </cfRule>
  </conditionalFormatting>
  <conditionalFormatting sqref="D138">
    <cfRule type="expression" dxfId="385" priority="205">
      <formula>_xlfn.ISFORMULA(D138)</formula>
    </cfRule>
  </conditionalFormatting>
  <conditionalFormatting sqref="C61:I62">
    <cfRule type="expression" dxfId="384" priority="202">
      <formula>_xlfn.ISFORMULA(C61)</formula>
    </cfRule>
  </conditionalFormatting>
  <conditionalFormatting sqref="C92:F92 H92">
    <cfRule type="expression" dxfId="383" priority="196">
      <formula>_xlfn.ISFORMULA(C92)</formula>
    </cfRule>
  </conditionalFormatting>
  <conditionalFormatting sqref="C93:C94 C96:F96">
    <cfRule type="expression" dxfId="382" priority="193">
      <formula>_xlfn.ISFORMULA(C93)</formula>
    </cfRule>
  </conditionalFormatting>
  <conditionalFormatting sqref="H99 C97:I98 C99:F99">
    <cfRule type="expression" dxfId="381" priority="190">
      <formula>_xlfn.ISFORMULA(C97)</formula>
    </cfRule>
  </conditionalFormatting>
  <conditionalFormatting sqref="C100:F100 H100 C101:C107">
    <cfRule type="expression" dxfId="380" priority="187">
      <formula>_xlfn.ISFORMULA(C100)</formula>
    </cfRule>
  </conditionalFormatting>
  <conditionalFormatting sqref="E102:E104 E107">
    <cfRule type="expression" dxfId="379" priority="185">
      <formula>_xlfn.ISFORMULA(E102)</formula>
    </cfRule>
  </conditionalFormatting>
  <conditionalFormatting sqref="H102:H107">
    <cfRule type="expression" dxfId="378" priority="184">
      <formula>_xlfn.ISFORMULA(H102)</formula>
    </cfRule>
  </conditionalFormatting>
  <conditionalFormatting sqref="G99">
    <cfRule type="expression" dxfId="377" priority="176">
      <formula>_xlfn.ISFORMULA(G99)</formula>
    </cfRule>
  </conditionalFormatting>
  <conditionalFormatting sqref="I102:I107">
    <cfRule type="expression" dxfId="376" priority="182">
      <formula>_xlfn.ISFORMULA(I102)</formula>
    </cfRule>
  </conditionalFormatting>
  <conditionalFormatting sqref="I101">
    <cfRule type="expression" dxfId="375" priority="181">
      <formula>_xlfn.ISFORMULA(I101)</formula>
    </cfRule>
  </conditionalFormatting>
  <conditionalFormatting sqref="I100">
    <cfRule type="expression" dxfId="374" priority="180">
      <formula>_xlfn.ISFORMULA(I100)</formula>
    </cfRule>
  </conditionalFormatting>
  <conditionalFormatting sqref="I99">
    <cfRule type="expression" dxfId="373" priority="179">
      <formula>_xlfn.ISFORMULA(I99)</formula>
    </cfRule>
  </conditionalFormatting>
  <conditionalFormatting sqref="G101:G107">
    <cfRule type="expression" dxfId="372" priority="178">
      <formula>_xlfn.ISFORMULA(G101)</formula>
    </cfRule>
  </conditionalFormatting>
  <conditionalFormatting sqref="G100">
    <cfRule type="expression" dxfId="371" priority="177">
      <formula>_xlfn.ISFORMULA(G100)</formula>
    </cfRule>
  </conditionalFormatting>
  <conditionalFormatting sqref="G98">
    <cfRule type="expression" dxfId="370" priority="174">
      <formula>_xlfn.ISFORMULA(G98)</formula>
    </cfRule>
  </conditionalFormatting>
  <conditionalFormatting sqref="G99">
    <cfRule type="expression" dxfId="369" priority="175">
      <formula>_xlfn.ISFORMULA(G99)</formula>
    </cfRule>
  </conditionalFormatting>
  <conditionalFormatting sqref="I99">
    <cfRule type="expression" dxfId="368" priority="173">
      <formula>_xlfn.ISFORMULA(I99)</formula>
    </cfRule>
  </conditionalFormatting>
  <conditionalFormatting sqref="I98">
    <cfRule type="expression" dxfId="367" priority="172">
      <formula>_xlfn.ISFORMULA(I98)</formula>
    </cfRule>
  </conditionalFormatting>
  <conditionalFormatting sqref="I96">
    <cfRule type="expression" dxfId="366" priority="171">
      <formula>_xlfn.ISFORMULA(I96)</formula>
    </cfRule>
  </conditionalFormatting>
  <conditionalFormatting sqref="G96">
    <cfRule type="expression" dxfId="365" priority="170">
      <formula>_xlfn.ISFORMULA(G96)</formula>
    </cfRule>
  </conditionalFormatting>
  <conditionalFormatting sqref="G92">
    <cfRule type="expression" dxfId="364" priority="169">
      <formula>_xlfn.ISFORMULA(G92)</formula>
    </cfRule>
  </conditionalFormatting>
  <conditionalFormatting sqref="I92">
    <cfRule type="expression" dxfId="363" priority="168">
      <formula>_xlfn.ISFORMULA(I92)</formula>
    </cfRule>
  </conditionalFormatting>
  <conditionalFormatting sqref="H93:H94">
    <cfRule type="expression" dxfId="362" priority="166">
      <formula>_xlfn.ISFORMULA(H93)</formula>
    </cfRule>
  </conditionalFormatting>
  <conditionalFormatting sqref="H89:H90">
    <cfRule type="expression" dxfId="361" priority="165">
      <formula>_xlfn.ISFORMULA(H89)</formula>
    </cfRule>
  </conditionalFormatting>
  <conditionalFormatting sqref="D101">
    <cfRule type="expression" dxfId="360" priority="164">
      <formula>_xlfn.ISFORMULA(D101)</formula>
    </cfRule>
  </conditionalFormatting>
  <conditionalFormatting sqref="E101">
    <cfRule type="expression" dxfId="359" priority="163">
      <formula>_xlfn.ISFORMULA(E101)</formula>
    </cfRule>
  </conditionalFormatting>
  <conditionalFormatting sqref="H101">
    <cfRule type="expression" dxfId="358" priority="162">
      <formula>_xlfn.ISFORMULA(H101)</formula>
    </cfRule>
  </conditionalFormatting>
  <conditionalFormatting sqref="F101">
    <cfRule type="expression" dxfId="357" priority="161">
      <formula>_xlfn.ISFORMULA(F101)</formula>
    </cfRule>
  </conditionalFormatting>
  <conditionalFormatting sqref="D102:D106">
    <cfRule type="expression" dxfId="356" priority="160">
      <formula>_xlfn.ISFORMULA(D102)</formula>
    </cfRule>
  </conditionalFormatting>
  <conditionalFormatting sqref="F102:F107">
    <cfRule type="expression" dxfId="355" priority="159">
      <formula>_xlfn.ISFORMULA(F102)</formula>
    </cfRule>
  </conditionalFormatting>
  <conditionalFormatting sqref="E95">
    <cfRule type="expression" dxfId="354" priority="158">
      <formula>_xlfn.ISFORMULA(E95)</formula>
    </cfRule>
  </conditionalFormatting>
  <conditionalFormatting sqref="E105">
    <cfRule type="expression" dxfId="353" priority="157">
      <formula>_xlfn.ISFORMULA(E105)</formula>
    </cfRule>
  </conditionalFormatting>
  <conditionalFormatting sqref="E106">
    <cfRule type="expression" dxfId="352" priority="156">
      <formula>_xlfn.ISFORMULA(E106)</formula>
    </cfRule>
  </conditionalFormatting>
  <conditionalFormatting sqref="D107">
    <cfRule type="expression" dxfId="351" priority="155">
      <formula>_xlfn.ISFORMULA(D107)</formula>
    </cfRule>
  </conditionalFormatting>
  <conditionalFormatting sqref="B188:B1048576 B22 B174:B185 B59:B107 B121:B158 B2:B18 B24:B56">
    <cfRule type="duplicateValues" dxfId="350" priority="1656"/>
  </conditionalFormatting>
  <conditionalFormatting sqref="B23:E23 G23 I23:K23">
    <cfRule type="expression" dxfId="349" priority="141">
      <formula>_xlfn.ISFORMULA(B23)</formula>
    </cfRule>
  </conditionalFormatting>
  <conditionalFormatting sqref="B23">
    <cfRule type="duplicateValues" dxfId="348" priority="142"/>
  </conditionalFormatting>
  <conditionalFormatting sqref="D22">
    <cfRule type="expression" dxfId="347" priority="140">
      <formula>_xlfn.ISFORMULA(D22)</formula>
    </cfRule>
  </conditionalFormatting>
  <conditionalFormatting sqref="B108:K108 C110:K110 C119:K120 C111:E111 G111 I111:K111 B109:C109 G109 I109:K109">
    <cfRule type="expression" dxfId="346" priority="136">
      <formula>_xlfn.ISFORMULA(B108)</formula>
    </cfRule>
  </conditionalFormatting>
  <conditionalFormatting sqref="C108:C111 C119:C120">
    <cfRule type="expression" dxfId="345" priority="135">
      <formula>_xlfn.ISFORMULA(C108)</formula>
    </cfRule>
  </conditionalFormatting>
  <conditionalFormatting sqref="H108 H119:H120 H110">
    <cfRule type="expression" dxfId="344" priority="133">
      <formula>_xlfn.ISFORMULA(H108)</formula>
    </cfRule>
  </conditionalFormatting>
  <conditionalFormatting sqref="I108:I111 I119:I120">
    <cfRule type="expression" dxfId="343" priority="132">
      <formula>_xlfn.ISFORMULA(I108)</formula>
    </cfRule>
  </conditionalFormatting>
  <conditionalFormatting sqref="G108:G111 G119:G120">
    <cfRule type="expression" dxfId="342" priority="131">
      <formula>_xlfn.ISFORMULA(G108)</formula>
    </cfRule>
  </conditionalFormatting>
  <conditionalFormatting sqref="D108 D119:D120 D110:D111">
    <cfRule type="expression" dxfId="341" priority="130">
      <formula>_xlfn.ISFORMULA(D108)</formula>
    </cfRule>
  </conditionalFormatting>
  <conditionalFormatting sqref="F108 F119:F120 F110">
    <cfRule type="expression" dxfId="340" priority="129">
      <formula>_xlfn.ISFORMULA(F108)</formula>
    </cfRule>
  </conditionalFormatting>
  <conditionalFormatting sqref="E108">
    <cfRule type="expression" dxfId="339" priority="128">
      <formula>_xlfn.ISFORMULA(E108)</formula>
    </cfRule>
  </conditionalFormatting>
  <conditionalFormatting sqref="E110:E111 E119:E120">
    <cfRule type="expression" dxfId="338" priority="127">
      <formula>_xlfn.ISFORMULA(E110)</formula>
    </cfRule>
  </conditionalFormatting>
  <conditionalFormatting sqref="B108:B109">
    <cfRule type="duplicateValues" dxfId="337" priority="1670"/>
  </conditionalFormatting>
  <conditionalFormatting sqref="B20">
    <cfRule type="expression" dxfId="336" priority="124">
      <formula>_xlfn.ISFORMULA(B20)</formula>
    </cfRule>
  </conditionalFormatting>
  <conditionalFormatting sqref="B20">
    <cfRule type="duplicateValues" dxfId="335" priority="125"/>
  </conditionalFormatting>
  <conditionalFormatting sqref="B21">
    <cfRule type="expression" dxfId="334" priority="122">
      <formula>_xlfn.ISFORMULA(B21)</formula>
    </cfRule>
  </conditionalFormatting>
  <conditionalFormatting sqref="B21">
    <cfRule type="duplicateValues" dxfId="333" priority="123"/>
  </conditionalFormatting>
  <conditionalFormatting sqref="H21">
    <cfRule type="expression" dxfId="332" priority="97">
      <formula>_xlfn.ISFORMULA(H21)</formula>
    </cfRule>
  </conditionalFormatting>
  <conditionalFormatting sqref="I20">
    <cfRule type="expression" dxfId="331" priority="121">
      <formula>_xlfn.ISFORMULA(I20)</formula>
    </cfRule>
  </conditionalFormatting>
  <conditionalFormatting sqref="I21">
    <cfRule type="expression" dxfId="330" priority="120">
      <formula>_xlfn.ISFORMULA(I21)</formula>
    </cfRule>
  </conditionalFormatting>
  <conditionalFormatting sqref="G20">
    <cfRule type="expression" dxfId="329" priority="119">
      <formula>_xlfn.ISFORMULA(G20)</formula>
    </cfRule>
  </conditionalFormatting>
  <conditionalFormatting sqref="G21">
    <cfRule type="expression" dxfId="328" priority="118">
      <formula>_xlfn.ISFORMULA(G21)</formula>
    </cfRule>
  </conditionalFormatting>
  <conditionalFormatting sqref="E20">
    <cfRule type="expression" dxfId="327" priority="117">
      <formula>_xlfn.ISFORMULA(E20)</formula>
    </cfRule>
  </conditionalFormatting>
  <conditionalFormatting sqref="E21">
    <cfRule type="expression" dxfId="326" priority="111">
      <formula>_xlfn.ISFORMULA(E21)</formula>
    </cfRule>
  </conditionalFormatting>
  <conditionalFormatting sqref="H22">
    <cfRule type="expression" dxfId="325" priority="104">
      <formula>_xlfn.ISFORMULA(H22)</formula>
    </cfRule>
  </conditionalFormatting>
  <conditionalFormatting sqref="F23">
    <cfRule type="expression" dxfId="324" priority="108">
      <formula>_xlfn.ISFORMULA(F23)</formula>
    </cfRule>
  </conditionalFormatting>
  <conditionalFormatting sqref="F22">
    <cfRule type="expression" dxfId="323" priority="107">
      <formula>_xlfn.ISFORMULA(F22)</formula>
    </cfRule>
  </conditionalFormatting>
  <conditionalFormatting sqref="F21">
    <cfRule type="expression" dxfId="322" priority="106">
      <formula>_xlfn.ISFORMULA(F21)</formula>
    </cfRule>
  </conditionalFormatting>
  <conditionalFormatting sqref="F20">
    <cfRule type="expression" dxfId="321" priority="105">
      <formula>_xlfn.ISFORMULA(F20)</formula>
    </cfRule>
  </conditionalFormatting>
  <conditionalFormatting sqref="H23">
    <cfRule type="expression" dxfId="320" priority="103">
      <formula>_xlfn.ISFORMULA(H23)</formula>
    </cfRule>
  </conditionalFormatting>
  <conditionalFormatting sqref="D21">
    <cfRule type="expression" dxfId="319" priority="100">
      <formula>_xlfn.ISFORMULA(D21)</formula>
    </cfRule>
  </conditionalFormatting>
  <conditionalFormatting sqref="D20">
    <cfRule type="expression" dxfId="318" priority="99">
      <formula>_xlfn.ISFORMULA(D20)</formula>
    </cfRule>
  </conditionalFormatting>
  <conditionalFormatting sqref="H20">
    <cfRule type="expression" dxfId="317" priority="98">
      <formula>_xlfn.ISFORMULA(H20)</formula>
    </cfRule>
  </conditionalFormatting>
  <conditionalFormatting sqref="B19:K19">
    <cfRule type="expression" dxfId="316" priority="94">
      <formula>_xlfn.ISFORMULA(B19)</formula>
    </cfRule>
  </conditionalFormatting>
  <conditionalFormatting sqref="B19">
    <cfRule type="duplicateValues" dxfId="315" priority="95"/>
  </conditionalFormatting>
  <conditionalFormatting sqref="B110:B111 B119:B120">
    <cfRule type="expression" dxfId="314" priority="92">
      <formula>_xlfn.ISFORMULA(B110)</formula>
    </cfRule>
  </conditionalFormatting>
  <conditionalFormatting sqref="B110:B111 B119:B120">
    <cfRule type="duplicateValues" dxfId="313" priority="93"/>
  </conditionalFormatting>
  <conditionalFormatting sqref="H138">
    <cfRule type="expression" dxfId="312" priority="91">
      <formula>_xlfn.ISFORMULA(H138)</formula>
    </cfRule>
  </conditionalFormatting>
  <conditionalFormatting sqref="F120">
    <cfRule type="expression" dxfId="311" priority="89">
      <formula>_xlfn.ISFORMULA(F120)</formula>
    </cfRule>
  </conditionalFormatting>
  <conditionalFormatting sqref="H120">
    <cfRule type="expression" dxfId="310" priority="87">
      <formula>_xlfn.ISFORMULA(H120)</formula>
    </cfRule>
  </conditionalFormatting>
  <conditionalFormatting sqref="C112:E118 G112:G118 I112:K118">
    <cfRule type="expression" dxfId="309" priority="85">
      <formula>_xlfn.ISFORMULA(C112)</formula>
    </cfRule>
  </conditionalFormatting>
  <conditionalFormatting sqref="C112:C118">
    <cfRule type="expression" dxfId="308" priority="84">
      <formula>_xlfn.ISFORMULA(C112)</formula>
    </cfRule>
  </conditionalFormatting>
  <conditionalFormatting sqref="I112:I118">
    <cfRule type="expression" dxfId="307" priority="82">
      <formula>_xlfn.ISFORMULA(I112)</formula>
    </cfRule>
  </conditionalFormatting>
  <conditionalFormatting sqref="G112:G118">
    <cfRule type="expression" dxfId="306" priority="81">
      <formula>_xlfn.ISFORMULA(G112)</formula>
    </cfRule>
  </conditionalFormatting>
  <conditionalFormatting sqref="D112:D118">
    <cfRule type="expression" dxfId="305" priority="80">
      <formula>_xlfn.ISFORMULA(D112)</formula>
    </cfRule>
  </conditionalFormatting>
  <conditionalFormatting sqref="E112:E118">
    <cfRule type="expression" dxfId="304" priority="78">
      <formula>_xlfn.ISFORMULA(E112)</formula>
    </cfRule>
  </conditionalFormatting>
  <conditionalFormatting sqref="B112:B118">
    <cfRule type="expression" dxfId="303" priority="76">
      <formula>_xlfn.ISFORMULA(B112)</formula>
    </cfRule>
  </conditionalFormatting>
  <conditionalFormatting sqref="B112:B118">
    <cfRule type="duplicateValues" dxfId="302" priority="77"/>
  </conditionalFormatting>
  <conditionalFormatting sqref="F106">
    <cfRule type="expression" dxfId="301" priority="65">
      <formula>_xlfn.ISFORMULA(F106)</formula>
    </cfRule>
  </conditionalFormatting>
  <conditionalFormatting sqref="H106">
    <cfRule type="expression" dxfId="300" priority="64">
      <formula>_xlfn.ISFORMULA(H106)</formula>
    </cfRule>
  </conditionalFormatting>
  <conditionalFormatting sqref="E107">
    <cfRule type="expression" dxfId="299" priority="63">
      <formula>_xlfn.ISFORMULA(E107)</formula>
    </cfRule>
  </conditionalFormatting>
  <conditionalFormatting sqref="F107">
    <cfRule type="expression" dxfId="298" priority="62">
      <formula>_xlfn.ISFORMULA(F107)</formula>
    </cfRule>
  </conditionalFormatting>
  <conditionalFormatting sqref="H107">
    <cfRule type="expression" dxfId="297" priority="61">
      <formula>_xlfn.ISFORMULA(H107)</formula>
    </cfRule>
  </conditionalFormatting>
  <conditionalFormatting sqref="H107">
    <cfRule type="expression" dxfId="296" priority="60">
      <formula>_xlfn.ISFORMULA(H107)</formula>
    </cfRule>
  </conditionalFormatting>
  <conditionalFormatting sqref="F111">
    <cfRule type="expression" dxfId="295" priority="59">
      <formula>_xlfn.ISFORMULA(F111)</formula>
    </cfRule>
  </conditionalFormatting>
  <conditionalFormatting sqref="F111">
    <cfRule type="expression" dxfId="294" priority="58">
      <formula>_xlfn.ISFORMULA(F111)</formula>
    </cfRule>
  </conditionalFormatting>
  <conditionalFormatting sqref="F112 F114:F118">
    <cfRule type="expression" dxfId="293" priority="57">
      <formula>_xlfn.ISFORMULA(F112)</formula>
    </cfRule>
  </conditionalFormatting>
  <conditionalFormatting sqref="F112 F114:F118">
    <cfRule type="expression" dxfId="292" priority="56">
      <formula>_xlfn.ISFORMULA(F112)</formula>
    </cfRule>
  </conditionalFormatting>
  <conditionalFormatting sqref="H111">
    <cfRule type="expression" dxfId="291" priority="55">
      <formula>_xlfn.ISFORMULA(H111)</formula>
    </cfRule>
  </conditionalFormatting>
  <conditionalFormatting sqref="H111">
    <cfRule type="expression" dxfId="290" priority="54">
      <formula>_xlfn.ISFORMULA(H111)</formula>
    </cfRule>
  </conditionalFormatting>
  <conditionalFormatting sqref="H112 H114:H118">
    <cfRule type="expression" dxfId="289" priority="53">
      <formula>_xlfn.ISFORMULA(H112)</formula>
    </cfRule>
  </conditionalFormatting>
  <conditionalFormatting sqref="H112 H114:H118">
    <cfRule type="expression" dxfId="288" priority="52">
      <formula>_xlfn.ISFORMULA(H112)</formula>
    </cfRule>
  </conditionalFormatting>
  <conditionalFormatting sqref="F113">
    <cfRule type="expression" dxfId="287" priority="51">
      <formula>_xlfn.ISFORMULA(F113)</formula>
    </cfRule>
  </conditionalFormatting>
  <conditionalFormatting sqref="F113">
    <cfRule type="expression" dxfId="286" priority="50">
      <formula>_xlfn.ISFORMULA(F113)</formula>
    </cfRule>
  </conditionalFormatting>
  <conditionalFormatting sqref="H113">
    <cfRule type="expression" dxfId="285" priority="49">
      <formula>_xlfn.ISFORMULA(H113)</formula>
    </cfRule>
  </conditionalFormatting>
  <conditionalFormatting sqref="H113">
    <cfRule type="expression" dxfId="284" priority="48">
      <formula>_xlfn.ISFORMULA(H113)</formula>
    </cfRule>
  </conditionalFormatting>
  <conditionalFormatting sqref="F104">
    <cfRule type="expression" dxfId="283" priority="47">
      <formula>_xlfn.ISFORMULA(F104)</formula>
    </cfRule>
  </conditionalFormatting>
  <conditionalFormatting sqref="H104">
    <cfRule type="expression" dxfId="282" priority="46">
      <formula>_xlfn.ISFORMULA(H104)</formula>
    </cfRule>
  </conditionalFormatting>
  <conditionalFormatting sqref="F182">
    <cfRule type="expression" dxfId="281" priority="45">
      <formula>_xlfn.ISFORMULA(F182)</formula>
    </cfRule>
  </conditionalFormatting>
  <conditionalFormatting sqref="H182">
    <cfRule type="expression" dxfId="280" priority="44">
      <formula>_xlfn.ISFORMULA(H182)</formula>
    </cfRule>
  </conditionalFormatting>
  <conditionalFormatting sqref="D109:E109">
    <cfRule type="expression" dxfId="279" priority="43">
      <formula>_xlfn.ISFORMULA(D109)</formula>
    </cfRule>
  </conditionalFormatting>
  <conditionalFormatting sqref="F109">
    <cfRule type="expression" dxfId="278" priority="42">
      <formula>_xlfn.ISFORMULA(F109)</formula>
    </cfRule>
  </conditionalFormatting>
  <conditionalFormatting sqref="H109">
    <cfRule type="expression" dxfId="277" priority="41">
      <formula>_xlfn.ISFORMULA(H109)</formula>
    </cfRule>
  </conditionalFormatting>
  <conditionalFormatting sqref="F181">
    <cfRule type="expression" dxfId="276" priority="40">
      <formula>_xlfn.ISFORMULA(F181)</formula>
    </cfRule>
  </conditionalFormatting>
  <conditionalFormatting sqref="H181">
    <cfRule type="expression" dxfId="275" priority="39">
      <formula>_xlfn.ISFORMULA(H181)</formula>
    </cfRule>
  </conditionalFormatting>
  <conditionalFormatting sqref="J183:K183">
    <cfRule type="expression" dxfId="274" priority="37">
      <formula>_xlfn.ISFORMULA(J183)</formula>
    </cfRule>
  </conditionalFormatting>
  <conditionalFormatting sqref="B185:I185">
    <cfRule type="expression" dxfId="273" priority="33">
      <formula>_xlfn.ISFORMULA(B185)</formula>
    </cfRule>
  </conditionalFormatting>
  <conditionalFormatting sqref="J184:K185">
    <cfRule type="expression" dxfId="272" priority="31">
      <formula>_xlfn.ISFORMULA(J184)</formula>
    </cfRule>
  </conditionalFormatting>
  <conditionalFormatting sqref="B186:K186">
    <cfRule type="expression" dxfId="271" priority="28">
      <formula>_xlfn.ISFORMULA(B186)</formula>
    </cfRule>
  </conditionalFormatting>
  <conditionalFormatting sqref="C186">
    <cfRule type="expression" dxfId="270" priority="27">
      <formula>_xlfn.ISFORMULA(C186)</formula>
    </cfRule>
  </conditionalFormatting>
  <conditionalFormatting sqref="H186">
    <cfRule type="expression" dxfId="269" priority="26">
      <formula>_xlfn.ISFORMULA(H186)</formula>
    </cfRule>
  </conditionalFormatting>
  <conditionalFormatting sqref="I186">
    <cfRule type="expression" dxfId="268" priority="25">
      <formula>_xlfn.ISFORMULA(I186)</formula>
    </cfRule>
  </conditionalFormatting>
  <conditionalFormatting sqref="G186">
    <cfRule type="expression" dxfId="267" priority="24">
      <formula>_xlfn.ISFORMULA(G186)</formula>
    </cfRule>
  </conditionalFormatting>
  <conditionalFormatting sqref="D186">
    <cfRule type="expression" dxfId="266" priority="23">
      <formula>_xlfn.ISFORMULA(D186)</formula>
    </cfRule>
  </conditionalFormatting>
  <conditionalFormatting sqref="F186">
    <cfRule type="expression" dxfId="265" priority="22">
      <formula>_xlfn.ISFORMULA(F186)</formula>
    </cfRule>
  </conditionalFormatting>
  <conditionalFormatting sqref="E186">
    <cfRule type="expression" dxfId="264" priority="21">
      <formula>_xlfn.ISFORMULA(E186)</formula>
    </cfRule>
  </conditionalFormatting>
  <conditionalFormatting sqref="B186">
    <cfRule type="duplicateValues" dxfId="263" priority="29"/>
  </conditionalFormatting>
  <conditionalFormatting sqref="B187:C187 G187 I187:K187">
    <cfRule type="expression" dxfId="262" priority="18">
      <formula>_xlfn.ISFORMULA(B187)</formula>
    </cfRule>
  </conditionalFormatting>
  <conditionalFormatting sqref="C187">
    <cfRule type="expression" dxfId="261" priority="17">
      <formula>_xlfn.ISFORMULA(C187)</formula>
    </cfRule>
  </conditionalFormatting>
  <conditionalFormatting sqref="I187">
    <cfRule type="expression" dxfId="260" priority="16">
      <formula>_xlfn.ISFORMULA(I187)</formula>
    </cfRule>
  </conditionalFormatting>
  <conditionalFormatting sqref="G187">
    <cfRule type="expression" dxfId="259" priority="15">
      <formula>_xlfn.ISFORMULA(G187)</formula>
    </cfRule>
  </conditionalFormatting>
  <conditionalFormatting sqref="B187">
    <cfRule type="duplicateValues" dxfId="258" priority="19"/>
  </conditionalFormatting>
  <conditionalFormatting sqref="D187:E187">
    <cfRule type="expression" dxfId="257" priority="14">
      <formula>_xlfn.ISFORMULA(D187)</formula>
    </cfRule>
  </conditionalFormatting>
  <conditionalFormatting sqref="F187">
    <cfRule type="expression" dxfId="256" priority="13">
      <formula>_xlfn.ISFORMULA(F187)</formula>
    </cfRule>
  </conditionalFormatting>
  <conditionalFormatting sqref="H187">
    <cfRule type="expression" dxfId="255" priority="12">
      <formula>_xlfn.ISFORMULA(H187)</formula>
    </cfRule>
  </conditionalFormatting>
  <conditionalFormatting sqref="B16:K17">
    <cfRule type="expression" dxfId="254" priority="10">
      <formula>_xlfn.ISFORMULA(B16)</formula>
    </cfRule>
  </conditionalFormatting>
  <conditionalFormatting sqref="J188:K189">
    <cfRule type="expression" dxfId="253" priority="8">
      <formula>_xlfn.ISFORMULA(J188)</formula>
    </cfRule>
  </conditionalFormatting>
  <conditionalFormatting sqref="B57:K58">
    <cfRule type="expression" dxfId="252" priority="2">
      <formula>_xlfn.ISFORMULA(B57)</formula>
    </cfRule>
  </conditionalFormatting>
  <conditionalFormatting sqref="B57:B58">
    <cfRule type="duplicateValues" dxfId="251" priority="3"/>
  </conditionalFormatting>
  <conditionalFormatting sqref="B159:B173">
    <cfRule type="duplicateValues" dxfId="250" priority="7383"/>
  </conditionalFormatting>
  <conditionalFormatting sqref="B17">
    <cfRule type="expression" dxfId="249" priority="1">
      <formula>_xlfn.ISFORMULA(B17)</formula>
    </cfRule>
  </conditionalFormatting>
  <pageMargins left="0.7" right="0.7" top="0.78740157499999996" bottom="0.78740157499999996"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iconSet" priority="211" id="{38723429-ABF6-4288-B7DB-774F1F33A26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J138:K138</xm:sqref>
        </x14:conditionalFormatting>
        <x14:conditionalFormatting xmlns:xm="http://schemas.microsoft.com/office/excel/2006/main">
          <x14:cfRule type="iconSet" priority="201" id="{F40A7204-B651-4A30-B389-20B8BAF1960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J61:K62</xm:sqref>
        </x14:conditionalFormatting>
        <x14:conditionalFormatting xmlns:xm="http://schemas.microsoft.com/office/excel/2006/main">
          <x14:cfRule type="iconSet" priority="199" id="{DC469C1D-ECBD-41D9-B2D1-F7C5F73361A2}">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J29:K29</xm:sqref>
        </x14:conditionalFormatting>
        <x14:conditionalFormatting xmlns:xm="http://schemas.microsoft.com/office/excel/2006/main">
          <x14:cfRule type="iconSet" priority="198" id="{A158C564-5879-4C6D-9778-E13A99C63E28}">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J89:K92</xm:sqref>
        </x14:conditionalFormatting>
        <x14:conditionalFormatting xmlns:xm="http://schemas.microsoft.com/office/excel/2006/main">
          <x14:cfRule type="iconSet" priority="195" id="{535995FA-A19D-46FD-B03E-530F0110220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J93:K96</xm:sqref>
        </x14:conditionalFormatting>
        <x14:conditionalFormatting xmlns:xm="http://schemas.microsoft.com/office/excel/2006/main">
          <x14:cfRule type="iconSet" priority="1615" id="{2AB6E3F8-C62C-4030-9EB6-F9ED01717A3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J97:K99</xm:sqref>
        </x14:conditionalFormatting>
        <x14:conditionalFormatting xmlns:xm="http://schemas.microsoft.com/office/excel/2006/main">
          <x14:cfRule type="iconSet" priority="189" id="{C0131A80-10DC-4035-B619-15881C1EC59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J100:K102</xm:sqref>
        </x14:conditionalFormatting>
        <x14:conditionalFormatting xmlns:xm="http://schemas.microsoft.com/office/excel/2006/main">
          <x14:cfRule type="iconSet" priority="143" id="{BE7FBDFD-C958-4E5C-B587-61CE2986619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J23:K23</xm:sqref>
        </x14:conditionalFormatting>
        <x14:conditionalFormatting xmlns:xm="http://schemas.microsoft.com/office/excel/2006/main">
          <x14:cfRule type="iconSet" priority="1671" id="{C9F73F39-81EA-4C68-A5A8-4C84EE90B9A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J108:K111 J119:K120</xm:sqref>
        </x14:conditionalFormatting>
        <x14:conditionalFormatting xmlns:xm="http://schemas.microsoft.com/office/excel/2006/main">
          <x14:cfRule type="iconSet" priority="96" id="{6C0200F8-F617-47E4-9E91-DAEB5B8C278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J19:K19</xm:sqref>
        </x14:conditionalFormatting>
        <x14:conditionalFormatting xmlns:xm="http://schemas.microsoft.com/office/excel/2006/main">
          <x14:cfRule type="iconSet" priority="86" id="{B5E37416-4B29-4AEC-9CD2-FCAD2CDA01E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J112:K118</xm:sqref>
        </x14:conditionalFormatting>
        <x14:conditionalFormatting xmlns:xm="http://schemas.microsoft.com/office/excel/2006/main">
          <x14:cfRule type="iconSet" priority="38" id="{1B2DE271-3464-49F3-B637-DD7CE5064FE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J183:K183</xm:sqref>
        </x14:conditionalFormatting>
        <x14:conditionalFormatting xmlns:xm="http://schemas.microsoft.com/office/excel/2006/main">
          <x14:cfRule type="iconSet" priority="32" id="{B8E12BC7-4292-4F95-82DC-B5DE5A03322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J184:K185</xm:sqref>
        </x14:conditionalFormatting>
        <x14:conditionalFormatting xmlns:xm="http://schemas.microsoft.com/office/excel/2006/main">
          <x14:cfRule type="iconSet" priority="30" id="{11604B03-EACF-4A82-AF36-F6D59030EBE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J186:K186</xm:sqref>
        </x14:conditionalFormatting>
        <x14:conditionalFormatting xmlns:xm="http://schemas.microsoft.com/office/excel/2006/main">
          <x14:cfRule type="iconSet" priority="20" id="{93B4091A-1812-43ED-B043-10FF468214A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J187:K187</xm:sqref>
        </x14:conditionalFormatting>
        <x14:conditionalFormatting xmlns:xm="http://schemas.microsoft.com/office/excel/2006/main">
          <x14:cfRule type="iconSet" priority="11" id="{862ED97C-BD85-4E78-A320-9FC595B437F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J16:K17</xm:sqref>
        </x14:conditionalFormatting>
        <x14:conditionalFormatting xmlns:xm="http://schemas.microsoft.com/office/excel/2006/main">
          <x14:cfRule type="iconSet" priority="9" id="{39CD90A5-D3DC-4515-B4C7-79CDA469FF55}">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J188:K189</xm:sqref>
        </x14:conditionalFormatting>
        <x14:conditionalFormatting xmlns:xm="http://schemas.microsoft.com/office/excel/2006/main">
          <x14:cfRule type="iconSet" priority="4" id="{9EB8053E-EC19-4306-BDFA-CC4EC062772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J57:K58</xm:sqref>
        </x14:conditionalFormatting>
        <x14:conditionalFormatting xmlns:xm="http://schemas.microsoft.com/office/excel/2006/main">
          <x14:cfRule type="iconSet" priority="1753" id="{9E818B33-2751-42F9-BFDE-3E90AB434B3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J174:K182 J103:K107 J30:K56 J63:K88 J24:K28 J121:K137 J4:K15 J20:K22 J18:K18 J59:K60 J139:K158</xm:sqref>
        </x14:conditionalFormatting>
        <x14:conditionalFormatting xmlns:xm="http://schemas.microsoft.com/office/excel/2006/main">
          <x14:cfRule type="iconSet" priority="7394" id="{C6FBF09A-B3D2-4A2B-9E47-518B947DC53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J159:K173</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EBF02-412C-4E1B-B2F1-C1ADE65D082C}">
  <sheetPr codeName="TabAssemblyData">
    <tabColor theme="9"/>
  </sheetPr>
  <dimension ref="A1:G404"/>
  <sheetViews>
    <sheetView showGridLines="0" zoomScale="115" zoomScaleNormal="115" workbookViewId="0">
      <selection activeCell="C55" sqref="C55"/>
    </sheetView>
  </sheetViews>
  <sheetFormatPr baseColWidth="10" defaultColWidth="11.42578125" defaultRowHeight="12.75"/>
  <cols>
    <col min="1" max="1" width="28.7109375" bestFit="1" customWidth="1"/>
    <col min="2" max="2" width="38.85546875" bestFit="1" customWidth="1"/>
    <col min="3" max="3" width="38.42578125" style="1" customWidth="1"/>
    <col min="4" max="4" width="27.28515625" style="1" bestFit="1" customWidth="1"/>
    <col min="5" max="7" width="11.42578125" style="1"/>
  </cols>
  <sheetData>
    <row r="1" spans="1:4">
      <c r="A1" t="s">
        <v>2667</v>
      </c>
      <c r="B1" t="s">
        <v>50</v>
      </c>
      <c r="C1" s="1" t="s">
        <v>54</v>
      </c>
      <c r="D1" s="1" t="s">
        <v>2668</v>
      </c>
    </row>
    <row r="2" spans="1:4">
      <c r="B2" s="971" t="s">
        <v>2669</v>
      </c>
      <c r="C2" s="972" t="s">
        <v>2670</v>
      </c>
      <c r="D2" s="584" t="s">
        <v>2671</v>
      </c>
    </row>
    <row r="3" spans="1:4">
      <c r="B3" s="918" t="s">
        <v>2672</v>
      </c>
      <c r="C3" s="972" t="s">
        <v>2673</v>
      </c>
      <c r="D3" s="584" t="s">
        <v>2674</v>
      </c>
    </row>
    <row r="4" spans="1:4">
      <c r="B4" s="918" t="s">
        <v>2675</v>
      </c>
      <c r="C4" s="972" t="s">
        <v>2676</v>
      </c>
      <c r="D4" s="584" t="s">
        <v>2677</v>
      </c>
    </row>
    <row r="5" spans="1:4">
      <c r="B5" s="918" t="s">
        <v>2678</v>
      </c>
      <c r="C5" s="972" t="s">
        <v>2679</v>
      </c>
      <c r="D5" s="584" t="s">
        <v>2680</v>
      </c>
    </row>
    <row r="6" spans="1:4">
      <c r="B6" s="971" t="s">
        <v>2681</v>
      </c>
      <c r="C6" s="972" t="s">
        <v>2682</v>
      </c>
      <c r="D6" s="584" t="s">
        <v>2683</v>
      </c>
    </row>
    <row r="7" spans="1:4">
      <c r="B7" s="918" t="s">
        <v>2684</v>
      </c>
      <c r="C7" s="584" t="s">
        <v>2685</v>
      </c>
      <c r="D7" s="584" t="s">
        <v>2686</v>
      </c>
    </row>
    <row r="8" spans="1:4">
      <c r="B8" s="918" t="s">
        <v>2687</v>
      </c>
      <c r="C8" s="584" t="s">
        <v>2688</v>
      </c>
      <c r="D8" s="584" t="s">
        <v>2689</v>
      </c>
    </row>
    <row r="9" spans="1:4">
      <c r="B9" s="918" t="s">
        <v>2690</v>
      </c>
      <c r="C9" s="584" t="s">
        <v>2691</v>
      </c>
      <c r="D9" s="584" t="s">
        <v>2692</v>
      </c>
    </row>
    <row r="10" spans="1:4">
      <c r="B10" s="971" t="s">
        <v>2693</v>
      </c>
      <c r="C10" s="584" t="s">
        <v>2694</v>
      </c>
      <c r="D10" s="972" t="s">
        <v>2695</v>
      </c>
    </row>
    <row r="11" spans="1:4">
      <c r="B11" s="918" t="s">
        <v>2696</v>
      </c>
      <c r="C11" s="972" t="s">
        <v>2697</v>
      </c>
      <c r="D11" s="972" t="s">
        <v>2698</v>
      </c>
    </row>
    <row r="12" spans="1:4">
      <c r="B12" s="918" t="s">
        <v>2699</v>
      </c>
      <c r="C12" s="972" t="s">
        <v>2700</v>
      </c>
      <c r="D12" s="972" t="s">
        <v>2701</v>
      </c>
    </row>
    <row r="13" spans="1:4">
      <c r="B13" s="918" t="s">
        <v>2702</v>
      </c>
      <c r="C13" s="972" t="s">
        <v>2703</v>
      </c>
      <c r="D13" s="972" t="s">
        <v>2704</v>
      </c>
    </row>
    <row r="14" spans="1:4">
      <c r="B14" t="s">
        <v>2705</v>
      </c>
      <c r="C14" s="972" t="s">
        <v>2706</v>
      </c>
      <c r="D14" s="972" t="s">
        <v>2707</v>
      </c>
    </row>
    <row r="15" spans="1:4">
      <c r="B15" s="918" t="s">
        <v>2708</v>
      </c>
      <c r="C15" s="918" t="s">
        <v>2709</v>
      </c>
      <c r="D15" s="972" t="s">
        <v>2710</v>
      </c>
    </row>
    <row r="16" spans="1:4">
      <c r="B16" s="918" t="s">
        <v>2711</v>
      </c>
      <c r="C16" s="918" t="s">
        <v>2712</v>
      </c>
      <c r="D16" s="972" t="s">
        <v>2713</v>
      </c>
    </row>
    <row r="17" spans="2:4">
      <c r="B17" s="918" t="s">
        <v>2714</v>
      </c>
      <c r="C17" s="918" t="s">
        <v>2715</v>
      </c>
      <c r="D17" s="972" t="s">
        <v>2716</v>
      </c>
    </row>
    <row r="18" spans="2:4">
      <c r="B18" s="971" t="s">
        <v>2717</v>
      </c>
      <c r="C18" s="972" t="s">
        <v>2718</v>
      </c>
      <c r="D18" s="972" t="s">
        <v>2719</v>
      </c>
    </row>
    <row r="19" spans="2:4">
      <c r="B19" s="918" t="s">
        <v>2720</v>
      </c>
      <c r="C19" s="972" t="s">
        <v>2721</v>
      </c>
      <c r="D19" s="972" t="s">
        <v>2722</v>
      </c>
    </row>
    <row r="20" spans="2:4">
      <c r="B20" s="918" t="s">
        <v>2723</v>
      </c>
      <c r="C20" s="972" t="s">
        <v>2724</v>
      </c>
      <c r="D20" s="972" t="s">
        <v>2725</v>
      </c>
    </row>
    <row r="21" spans="2:4">
      <c r="B21" s="918" t="s">
        <v>2726</v>
      </c>
      <c r="C21" s="972" t="s">
        <v>2727</v>
      </c>
      <c r="D21" s="972" t="s">
        <v>2728</v>
      </c>
    </row>
    <row r="22" spans="2:4">
      <c r="B22" s="971" t="s">
        <v>2729</v>
      </c>
      <c r="C22" s="972" t="s">
        <v>2730</v>
      </c>
      <c r="D22" s="972" t="s">
        <v>2731</v>
      </c>
    </row>
    <row r="23" spans="2:4">
      <c r="B23" s="897" t="s">
        <v>2732</v>
      </c>
      <c r="C23" s="584" t="s">
        <v>2733</v>
      </c>
      <c r="D23" s="972" t="s">
        <v>2734</v>
      </c>
    </row>
    <row r="24" spans="2:4">
      <c r="B24" s="897" t="s">
        <v>2735</v>
      </c>
      <c r="C24" s="584" t="s">
        <v>2736</v>
      </c>
      <c r="D24" s="972" t="s">
        <v>2737</v>
      </c>
    </row>
    <row r="25" spans="2:4">
      <c r="B25" s="897" t="s">
        <v>2738</v>
      </c>
      <c r="C25" s="584" t="s">
        <v>2739</v>
      </c>
      <c r="D25" s="972" t="s">
        <v>2740</v>
      </c>
    </row>
    <row r="26" spans="2:4">
      <c r="B26" s="971" t="s">
        <v>2741</v>
      </c>
      <c r="C26" s="972" t="s">
        <v>2742</v>
      </c>
      <c r="D26" s="972" t="s">
        <v>2743</v>
      </c>
    </row>
    <row r="27" spans="2:4">
      <c r="B27" s="971" t="s">
        <v>2744</v>
      </c>
      <c r="C27" s="972" t="s">
        <v>2745</v>
      </c>
      <c r="D27" s="972" t="s">
        <v>2746</v>
      </c>
    </row>
    <row r="28" spans="2:4">
      <c r="B28" t="s">
        <v>2747</v>
      </c>
      <c r="C28" s="972" t="s">
        <v>2748</v>
      </c>
      <c r="D28" s="972" t="s">
        <v>2749</v>
      </c>
    </row>
    <row r="29" spans="2:4">
      <c r="B29" s="918" t="s">
        <v>2750</v>
      </c>
      <c r="C29" s="584" t="s">
        <v>2751</v>
      </c>
      <c r="D29" s="972" t="s">
        <v>2752</v>
      </c>
    </row>
    <row r="30" spans="2:4">
      <c r="B30" s="918" t="s">
        <v>2753</v>
      </c>
      <c r="C30" s="584" t="s">
        <v>2754</v>
      </c>
      <c r="D30" s="972" t="s">
        <v>2755</v>
      </c>
    </row>
    <row r="31" spans="2:4">
      <c r="B31" s="918" t="s">
        <v>2756</v>
      </c>
      <c r="C31" s="584" t="s">
        <v>2757</v>
      </c>
      <c r="D31" s="972" t="s">
        <v>2758</v>
      </c>
    </row>
    <row r="32" spans="2:4">
      <c r="B32" s="918" t="s">
        <v>2759</v>
      </c>
      <c r="C32" s="584" t="s">
        <v>2760</v>
      </c>
      <c r="D32" s="972" t="s">
        <v>2761</v>
      </c>
    </row>
    <row r="33" spans="2:4">
      <c r="B33" s="971" t="s">
        <v>2762</v>
      </c>
      <c r="C33" s="972" t="s">
        <v>2763</v>
      </c>
      <c r="D33" s="972" t="s">
        <v>2764</v>
      </c>
    </row>
    <row r="34" spans="2:4">
      <c r="B34" s="972" t="s">
        <v>2765</v>
      </c>
      <c r="C34" s="972" t="s">
        <v>2766</v>
      </c>
      <c r="D34" s="972" t="s">
        <v>2767</v>
      </c>
    </row>
    <row r="35" spans="2:4">
      <c r="B35" s="918" t="s">
        <v>2768</v>
      </c>
      <c r="C35" s="584" t="s">
        <v>2769</v>
      </c>
      <c r="D35" s="972" t="s">
        <v>2770</v>
      </c>
    </row>
    <row r="36" spans="2:4">
      <c r="B36" s="918" t="s">
        <v>2771</v>
      </c>
      <c r="C36" s="584" t="s">
        <v>2772</v>
      </c>
      <c r="D36" s="972" t="s">
        <v>2773</v>
      </c>
    </row>
    <row r="37" spans="2:4">
      <c r="B37" s="918" t="s">
        <v>2774</v>
      </c>
      <c r="C37" s="584" t="s">
        <v>2775</v>
      </c>
      <c r="D37" s="972" t="s">
        <v>2776</v>
      </c>
    </row>
    <row r="38" spans="2:4">
      <c r="B38" s="897" t="s">
        <v>2777</v>
      </c>
      <c r="C38" s="584" t="s">
        <v>2778</v>
      </c>
      <c r="D38" s="972" t="s">
        <v>2779</v>
      </c>
    </row>
    <row r="39" spans="2:4">
      <c r="B39" t="s">
        <v>2780</v>
      </c>
      <c r="C39" s="584" t="s">
        <v>2781</v>
      </c>
      <c r="D39" s="972" t="s">
        <v>2782</v>
      </c>
    </row>
    <row r="40" spans="2:4">
      <c r="B40" s="918" t="s">
        <v>2783</v>
      </c>
      <c r="C40" s="584" t="s">
        <v>2784</v>
      </c>
      <c r="D40" s="972" t="s">
        <v>2785</v>
      </c>
    </row>
    <row r="41" spans="2:4">
      <c r="B41" s="918" t="s">
        <v>2786</v>
      </c>
      <c r="C41" s="584" t="s">
        <v>2787</v>
      </c>
      <c r="D41" s="972" t="s">
        <v>2788</v>
      </c>
    </row>
    <row r="42" spans="2:4">
      <c r="B42" s="971" t="s">
        <v>2789</v>
      </c>
      <c r="C42" s="972" t="s">
        <v>2790</v>
      </c>
      <c r="D42" s="972" t="s">
        <v>2791</v>
      </c>
    </row>
    <row r="43" spans="2:4">
      <c r="B43" s="918" t="s">
        <v>2792</v>
      </c>
      <c r="C43" s="584" t="s">
        <v>2793</v>
      </c>
      <c r="D43" s="972" t="s">
        <v>2794</v>
      </c>
    </row>
    <row r="44" spans="2:4">
      <c r="B44" s="918" t="s">
        <v>2795</v>
      </c>
      <c r="C44" s="584" t="s">
        <v>2796</v>
      </c>
      <c r="D44" s="972" t="s">
        <v>2797</v>
      </c>
    </row>
    <row r="45" spans="2:4">
      <c r="B45" t="s">
        <v>2798</v>
      </c>
      <c r="C45" s="972" t="s">
        <v>2799</v>
      </c>
      <c r="D45" s="972" t="s">
        <v>2800</v>
      </c>
    </row>
    <row r="46" spans="2:4">
      <c r="B46" s="918" t="s">
        <v>2801</v>
      </c>
      <c r="C46" s="584" t="s">
        <v>2802</v>
      </c>
      <c r="D46" s="972" t="s">
        <v>2803</v>
      </c>
    </row>
    <row r="47" spans="2:4">
      <c r="B47" s="918" t="s">
        <v>2804</v>
      </c>
      <c r="C47" s="584" t="s">
        <v>2805</v>
      </c>
      <c r="D47" s="972" t="s">
        <v>2806</v>
      </c>
    </row>
    <row r="48" spans="2:4">
      <c r="B48" s="918" t="s">
        <v>2807</v>
      </c>
      <c r="C48" s="584" t="s">
        <v>2808</v>
      </c>
      <c r="D48" s="972" t="s">
        <v>2809</v>
      </c>
    </row>
    <row r="49" spans="1:4">
      <c r="B49" t="s">
        <v>2810</v>
      </c>
      <c r="C49" s="972" t="s">
        <v>2811</v>
      </c>
      <c r="D49" s="972" t="s">
        <v>2812</v>
      </c>
    </row>
    <row r="50" spans="1:4">
      <c r="B50" s="971"/>
      <c r="C50" s="584"/>
      <c r="D50" s="584"/>
    </row>
    <row r="51" spans="1:4">
      <c r="B51" s="971"/>
      <c r="C51" s="584"/>
      <c r="D51" s="584"/>
    </row>
    <row r="52" spans="1:4">
      <c r="B52" s="971"/>
      <c r="C52" s="584"/>
      <c r="D52" s="584"/>
    </row>
    <row r="53" spans="1:4">
      <c r="B53" s="971"/>
      <c r="C53" s="584"/>
      <c r="D53" s="584"/>
    </row>
    <row r="54" spans="1:4">
      <c r="B54" s="971"/>
      <c r="C54" s="584"/>
      <c r="D54" s="584"/>
    </row>
    <row r="55" spans="1:4">
      <c r="B55" s="971"/>
      <c r="C55" s="584"/>
      <c r="D55" s="584"/>
    </row>
    <row r="62" spans="1:4">
      <c r="A62" t="s">
        <v>2813</v>
      </c>
      <c r="B62" t="s">
        <v>50</v>
      </c>
      <c r="C62" s="1" t="s">
        <v>54</v>
      </c>
    </row>
    <row r="63" spans="1:4">
      <c r="B63" s="971" t="s">
        <v>2669</v>
      </c>
      <c r="C63" s="972" t="s">
        <v>2670</v>
      </c>
    </row>
    <row r="64" spans="1:4">
      <c r="B64" s="971" t="s">
        <v>2681</v>
      </c>
      <c r="C64" s="972" t="s">
        <v>2682</v>
      </c>
    </row>
    <row r="65" spans="1:3">
      <c r="B65" s="971" t="s">
        <v>2693</v>
      </c>
      <c r="C65" s="972" t="s">
        <v>2694</v>
      </c>
    </row>
    <row r="66" spans="1:3">
      <c r="B66" s="971" t="s">
        <v>2705</v>
      </c>
      <c r="C66" s="972" t="s">
        <v>2706</v>
      </c>
    </row>
    <row r="67" spans="1:3">
      <c r="B67" s="971" t="s">
        <v>2717</v>
      </c>
      <c r="C67" s="584" t="s">
        <v>2718</v>
      </c>
    </row>
    <row r="68" spans="1:3">
      <c r="B68" s="971" t="s">
        <v>2729</v>
      </c>
      <c r="C68" s="584" t="s">
        <v>2814</v>
      </c>
    </row>
    <row r="69" spans="1:3">
      <c r="B69" s="971" t="s">
        <v>2741</v>
      </c>
      <c r="C69" s="584" t="s">
        <v>2742</v>
      </c>
    </row>
    <row r="70" spans="1:3">
      <c r="B70" s="971" t="s">
        <v>2744</v>
      </c>
      <c r="C70" s="584" t="s">
        <v>2745</v>
      </c>
    </row>
    <row r="71" spans="1:3">
      <c r="B71" s="971" t="s">
        <v>2747</v>
      </c>
      <c r="C71" s="584" t="s">
        <v>2748</v>
      </c>
    </row>
    <row r="72" spans="1:3">
      <c r="B72" s="971" t="s">
        <v>2762</v>
      </c>
      <c r="C72" s="584" t="s">
        <v>2763</v>
      </c>
    </row>
    <row r="73" spans="1:3">
      <c r="B73" s="971" t="s">
        <v>2765</v>
      </c>
      <c r="C73" s="584" t="s">
        <v>2766</v>
      </c>
    </row>
    <row r="74" spans="1:3">
      <c r="B74" s="971" t="s">
        <v>2780</v>
      </c>
      <c r="C74" s="584" t="s">
        <v>2781</v>
      </c>
    </row>
    <row r="75" spans="1:3">
      <c r="B75" s="971" t="s">
        <v>2789</v>
      </c>
      <c r="C75" s="584" t="s">
        <v>2790</v>
      </c>
    </row>
    <row r="76" spans="1:3">
      <c r="B76" s="971" t="s">
        <v>2798</v>
      </c>
      <c r="C76" s="584" t="s">
        <v>2799</v>
      </c>
    </row>
    <row r="77" spans="1:3">
      <c r="B77" s="971" t="s">
        <v>2810</v>
      </c>
      <c r="C77" s="584" t="s">
        <v>2815</v>
      </c>
    </row>
    <row r="79" spans="1:3">
      <c r="A79" t="s">
        <v>2816</v>
      </c>
      <c r="B79" t="s">
        <v>50</v>
      </c>
      <c r="C79" s="1" t="s">
        <v>54</v>
      </c>
    </row>
    <row r="80" spans="1:3">
      <c r="B80" s="971" t="s">
        <v>2672</v>
      </c>
      <c r="C80" s="584" t="s">
        <v>2673</v>
      </c>
    </row>
    <row r="81" spans="1:7">
      <c r="B81" t="s">
        <v>2675</v>
      </c>
      <c r="C81" s="584" t="s">
        <v>2676</v>
      </c>
    </row>
    <row r="82" spans="1:7">
      <c r="B82" t="s">
        <v>2678</v>
      </c>
      <c r="C82" s="584" t="s">
        <v>2679</v>
      </c>
    </row>
    <row r="84" spans="1:7">
      <c r="A84" t="s">
        <v>2817</v>
      </c>
      <c r="B84" t="s">
        <v>50</v>
      </c>
      <c r="C84" s="1" t="s">
        <v>54</v>
      </c>
      <c r="D84"/>
      <c r="E84"/>
      <c r="F84"/>
      <c r="G84"/>
    </row>
    <row r="85" spans="1:7">
      <c r="A85" t="s">
        <v>2818</v>
      </c>
      <c r="B85" s="973" t="s">
        <v>2819</v>
      </c>
      <c r="C85" s="974" t="s">
        <v>2820</v>
      </c>
      <c r="D85"/>
      <c r="E85"/>
      <c r="F85"/>
      <c r="G85"/>
    </row>
    <row r="86" spans="1:7">
      <c r="B86" s="973" t="s">
        <v>2821</v>
      </c>
      <c r="C86" s="974" t="s">
        <v>2822</v>
      </c>
      <c r="D86"/>
      <c r="E86"/>
      <c r="F86"/>
      <c r="G86"/>
    </row>
    <row r="87" spans="1:7">
      <c r="B87" s="973" t="s">
        <v>2823</v>
      </c>
      <c r="C87" s="974" t="s">
        <v>2824</v>
      </c>
      <c r="D87"/>
      <c r="E87"/>
      <c r="F87"/>
      <c r="G87"/>
    </row>
    <row r="88" spans="1:7">
      <c r="B88" s="973" t="s">
        <v>2825</v>
      </c>
      <c r="C88" s="974" t="s">
        <v>2826</v>
      </c>
      <c r="D88"/>
      <c r="E88"/>
      <c r="F88"/>
      <c r="G88"/>
    </row>
    <row r="89" spans="1:7">
      <c r="B89" s="973" t="s">
        <v>2827</v>
      </c>
      <c r="C89" s="974" t="s">
        <v>2828</v>
      </c>
      <c r="D89"/>
      <c r="E89"/>
      <c r="F89"/>
      <c r="G89"/>
    </row>
    <row r="90" spans="1:7">
      <c r="B90" s="973" t="s">
        <v>2829</v>
      </c>
      <c r="C90" s="974" t="s">
        <v>2830</v>
      </c>
      <c r="D90"/>
      <c r="E90"/>
      <c r="F90"/>
      <c r="G90"/>
    </row>
    <row r="91" spans="1:7">
      <c r="B91" s="973" t="s">
        <v>2831</v>
      </c>
      <c r="C91" s="974" t="s">
        <v>2832</v>
      </c>
      <c r="D91"/>
      <c r="E91"/>
      <c r="F91"/>
      <c r="G91"/>
    </row>
    <row r="92" spans="1:7">
      <c r="B92" s="973" t="s">
        <v>2833</v>
      </c>
      <c r="C92" s="974" t="s">
        <v>2834</v>
      </c>
      <c r="D92"/>
      <c r="E92"/>
      <c r="F92"/>
      <c r="G92"/>
    </row>
    <row r="93" spans="1:7">
      <c r="B93" s="973" t="s">
        <v>2835</v>
      </c>
      <c r="C93" s="974" t="s">
        <v>2836</v>
      </c>
      <c r="D93"/>
      <c r="E93"/>
      <c r="F93"/>
      <c r="G93"/>
    </row>
    <row r="94" spans="1:7">
      <c r="B94" s="973" t="s">
        <v>2837</v>
      </c>
      <c r="C94" s="974" t="s">
        <v>2838</v>
      </c>
      <c r="D94"/>
      <c r="E94"/>
      <c r="F94"/>
      <c r="G94"/>
    </row>
    <row r="96" spans="1:7">
      <c r="A96" t="s">
        <v>2839</v>
      </c>
      <c r="B96" t="s">
        <v>50</v>
      </c>
      <c r="C96" s="1" t="s">
        <v>54</v>
      </c>
      <c r="D96"/>
      <c r="E96"/>
      <c r="F96"/>
      <c r="G96"/>
    </row>
    <row r="97" spans="1:7">
      <c r="A97" t="s">
        <v>2840</v>
      </c>
      <c r="B97" s="973" t="s">
        <v>2819</v>
      </c>
      <c r="C97" s="974" t="s">
        <v>2820</v>
      </c>
      <c r="D97"/>
      <c r="E97"/>
      <c r="F97"/>
      <c r="G97"/>
    </row>
    <row r="98" spans="1:7">
      <c r="B98" s="973" t="s">
        <v>2821</v>
      </c>
      <c r="C98" s="974" t="s">
        <v>2822</v>
      </c>
      <c r="D98"/>
      <c r="E98"/>
      <c r="F98"/>
      <c r="G98"/>
    </row>
    <row r="99" spans="1:7">
      <c r="B99" s="973" t="s">
        <v>2823</v>
      </c>
      <c r="C99" s="974" t="s">
        <v>2824</v>
      </c>
      <c r="D99"/>
      <c r="E99"/>
      <c r="F99"/>
      <c r="G99"/>
    </row>
    <row r="100" spans="1:7">
      <c r="B100" s="973" t="s">
        <v>2825</v>
      </c>
      <c r="C100" s="974" t="s">
        <v>2826</v>
      </c>
      <c r="D100"/>
      <c r="E100"/>
      <c r="F100"/>
      <c r="G100"/>
    </row>
    <row r="101" spans="1:7">
      <c r="B101" s="973" t="s">
        <v>2827</v>
      </c>
      <c r="C101" s="974" t="s">
        <v>2828</v>
      </c>
      <c r="D101"/>
      <c r="E101"/>
      <c r="F101"/>
      <c r="G101"/>
    </row>
    <row r="102" spans="1:7">
      <c r="B102" s="973" t="s">
        <v>2829</v>
      </c>
      <c r="C102" s="974" t="s">
        <v>2830</v>
      </c>
      <c r="D102"/>
      <c r="E102"/>
      <c r="F102"/>
      <c r="G102"/>
    </row>
    <row r="103" spans="1:7">
      <c r="B103" s="973" t="s">
        <v>2831</v>
      </c>
      <c r="C103" s="974" t="s">
        <v>2832</v>
      </c>
      <c r="D103"/>
      <c r="E103"/>
      <c r="F103"/>
      <c r="G103"/>
    </row>
    <row r="104" spans="1:7">
      <c r="B104" s="973" t="s">
        <v>2833</v>
      </c>
      <c r="C104" s="974" t="s">
        <v>2834</v>
      </c>
      <c r="D104"/>
      <c r="E104"/>
      <c r="F104"/>
      <c r="G104"/>
    </row>
    <row r="105" spans="1:7">
      <c r="B105" s="973" t="s">
        <v>2835</v>
      </c>
      <c r="C105" s="974" t="s">
        <v>2836</v>
      </c>
      <c r="D105"/>
      <c r="E105"/>
      <c r="F105"/>
      <c r="G105"/>
    </row>
    <row r="106" spans="1:7">
      <c r="B106" s="973" t="s">
        <v>2837</v>
      </c>
      <c r="C106" s="974" t="s">
        <v>2838</v>
      </c>
      <c r="D106"/>
      <c r="E106"/>
      <c r="F106"/>
      <c r="G106"/>
    </row>
    <row r="108" spans="1:7">
      <c r="A108" t="s">
        <v>2841</v>
      </c>
      <c r="B108" t="s">
        <v>50</v>
      </c>
      <c r="C108" s="1" t="s">
        <v>54</v>
      </c>
      <c r="D108"/>
      <c r="E108"/>
      <c r="F108"/>
      <c r="G108"/>
    </row>
    <row r="109" spans="1:7">
      <c r="A109" t="s">
        <v>2842</v>
      </c>
      <c r="B109" s="973" t="s">
        <v>2819</v>
      </c>
      <c r="C109" s="974" t="s">
        <v>2820</v>
      </c>
      <c r="D109"/>
      <c r="E109"/>
      <c r="F109"/>
      <c r="G109"/>
    </row>
    <row r="110" spans="1:7">
      <c r="B110" s="973" t="s">
        <v>2821</v>
      </c>
      <c r="C110" s="974" t="s">
        <v>2822</v>
      </c>
      <c r="D110"/>
      <c r="E110"/>
      <c r="F110"/>
      <c r="G110"/>
    </row>
    <row r="111" spans="1:7">
      <c r="B111" s="973" t="s">
        <v>2823</v>
      </c>
      <c r="C111" s="974" t="s">
        <v>2824</v>
      </c>
      <c r="D111"/>
      <c r="E111"/>
      <c r="F111"/>
      <c r="G111"/>
    </row>
    <row r="112" spans="1:7">
      <c r="B112" s="973" t="s">
        <v>2825</v>
      </c>
      <c r="C112" s="974" t="s">
        <v>2826</v>
      </c>
      <c r="D112"/>
      <c r="E112"/>
      <c r="F112"/>
      <c r="G112"/>
    </row>
    <row r="113" spans="1:7">
      <c r="B113" s="973" t="s">
        <v>2827</v>
      </c>
      <c r="C113" s="974" t="s">
        <v>2828</v>
      </c>
      <c r="D113"/>
      <c r="E113"/>
      <c r="F113"/>
      <c r="G113"/>
    </row>
    <row r="114" spans="1:7">
      <c r="B114" s="973" t="s">
        <v>2829</v>
      </c>
      <c r="C114" s="974" t="s">
        <v>2830</v>
      </c>
      <c r="D114"/>
      <c r="E114"/>
      <c r="F114"/>
      <c r="G114"/>
    </row>
    <row r="115" spans="1:7">
      <c r="B115" s="973" t="s">
        <v>2831</v>
      </c>
      <c r="C115" s="974" t="s">
        <v>2832</v>
      </c>
      <c r="D115"/>
      <c r="E115"/>
      <c r="F115"/>
      <c r="G115"/>
    </row>
    <row r="116" spans="1:7">
      <c r="B116" s="973" t="s">
        <v>2833</v>
      </c>
      <c r="C116" s="974" t="s">
        <v>2834</v>
      </c>
      <c r="D116"/>
      <c r="E116"/>
      <c r="F116"/>
      <c r="G116"/>
    </row>
    <row r="117" spans="1:7">
      <c r="B117" s="973" t="s">
        <v>2835</v>
      </c>
      <c r="C117" s="974" t="s">
        <v>2836</v>
      </c>
      <c r="D117"/>
      <c r="E117"/>
      <c r="F117"/>
      <c r="G117"/>
    </row>
    <row r="118" spans="1:7">
      <c r="B118" s="973" t="s">
        <v>2837</v>
      </c>
      <c r="C118" s="974" t="s">
        <v>2838</v>
      </c>
      <c r="D118"/>
      <c r="E118"/>
      <c r="F118"/>
      <c r="G118"/>
    </row>
    <row r="121" spans="1:7">
      <c r="A121" t="s">
        <v>2845</v>
      </c>
      <c r="B121" t="s">
        <v>50</v>
      </c>
      <c r="C121" s="1" t="s">
        <v>54</v>
      </c>
    </row>
    <row r="122" spans="1:7">
      <c r="B122" s="972" t="s">
        <v>2684</v>
      </c>
      <c r="C122" s="972" t="s">
        <v>2685</v>
      </c>
    </row>
    <row r="123" spans="1:7">
      <c r="B123" s="972" t="s">
        <v>2687</v>
      </c>
      <c r="C123" s="972" t="s">
        <v>2688</v>
      </c>
    </row>
    <row r="124" spans="1:7">
      <c r="B124" s="972" t="s">
        <v>2690</v>
      </c>
      <c r="C124" s="972" t="s">
        <v>2691</v>
      </c>
    </row>
    <row r="126" spans="1:7">
      <c r="A126" t="s">
        <v>2846</v>
      </c>
      <c r="B126" t="s">
        <v>50</v>
      </c>
      <c r="C126" s="1" t="s">
        <v>54</v>
      </c>
      <c r="D126"/>
      <c r="E126"/>
      <c r="F126"/>
      <c r="G126"/>
    </row>
    <row r="127" spans="1:7">
      <c r="A127" t="s">
        <v>2847</v>
      </c>
      <c r="B127" t="s">
        <v>2848</v>
      </c>
      <c r="C127" t="s">
        <v>2849</v>
      </c>
      <c r="D127"/>
      <c r="E127"/>
      <c r="F127"/>
      <c r="G127"/>
    </row>
    <row r="128" spans="1:7">
      <c r="B128" t="s">
        <v>2850</v>
      </c>
      <c r="C128" t="s">
        <v>2851</v>
      </c>
      <c r="D128"/>
      <c r="E128"/>
      <c r="F128"/>
      <c r="G128"/>
    </row>
    <row r="129" spans="1:7">
      <c r="B129" t="s">
        <v>2852</v>
      </c>
      <c r="C129" t="s">
        <v>2853</v>
      </c>
      <c r="D129"/>
      <c r="E129"/>
      <c r="F129"/>
      <c r="G129"/>
    </row>
    <row r="130" spans="1:7">
      <c r="B130" t="s">
        <v>2854</v>
      </c>
      <c r="C130" t="s">
        <v>2855</v>
      </c>
      <c r="D130"/>
      <c r="E130"/>
      <c r="F130"/>
      <c r="G130"/>
    </row>
    <row r="132" spans="1:7">
      <c r="A132" t="s">
        <v>2856</v>
      </c>
      <c r="B132" t="s">
        <v>50</v>
      </c>
      <c r="C132" s="1" t="s">
        <v>54</v>
      </c>
      <c r="D132"/>
      <c r="E132"/>
      <c r="F132"/>
      <c r="G132"/>
    </row>
    <row r="133" spans="1:7">
      <c r="A133" t="s">
        <v>2857</v>
      </c>
      <c r="B133" t="s">
        <v>2858</v>
      </c>
      <c r="C133" t="s">
        <v>2859</v>
      </c>
      <c r="D133"/>
      <c r="E133"/>
      <c r="F133"/>
      <c r="G133"/>
    </row>
    <row r="134" spans="1:7">
      <c r="B134" t="s">
        <v>2860</v>
      </c>
      <c r="C134" t="s">
        <v>2861</v>
      </c>
      <c r="D134"/>
      <c r="E134"/>
      <c r="F134"/>
      <c r="G134"/>
    </row>
    <row r="135" spans="1:7">
      <c r="B135" t="s">
        <v>2862</v>
      </c>
      <c r="C135" t="s">
        <v>2863</v>
      </c>
      <c r="D135"/>
      <c r="E135"/>
      <c r="F135"/>
      <c r="G135"/>
    </row>
    <row r="136" spans="1:7">
      <c r="B136" t="s">
        <v>2864</v>
      </c>
      <c r="C136" t="s">
        <v>2865</v>
      </c>
      <c r="D136"/>
      <c r="E136"/>
      <c r="F136"/>
      <c r="G136"/>
    </row>
    <row r="137" spans="1:7">
      <c r="B137" t="s">
        <v>2866</v>
      </c>
      <c r="C137" t="s">
        <v>2867</v>
      </c>
      <c r="D137"/>
      <c r="E137"/>
      <c r="F137"/>
      <c r="G137"/>
    </row>
    <row r="139" spans="1:7">
      <c r="A139" t="s">
        <v>2868</v>
      </c>
      <c r="B139" t="s">
        <v>50</v>
      </c>
      <c r="C139" s="1" t="s">
        <v>54</v>
      </c>
      <c r="D139"/>
      <c r="E139"/>
      <c r="F139"/>
      <c r="G139"/>
    </row>
    <row r="140" spans="1:7">
      <c r="A140" t="s">
        <v>2869</v>
      </c>
      <c r="B140" t="s">
        <v>2858</v>
      </c>
      <c r="C140" t="s">
        <v>2859</v>
      </c>
      <c r="D140"/>
      <c r="E140"/>
      <c r="F140"/>
      <c r="G140"/>
    </row>
    <row r="141" spans="1:7">
      <c r="B141" t="s">
        <v>2860</v>
      </c>
      <c r="C141" t="s">
        <v>2861</v>
      </c>
      <c r="D141"/>
      <c r="E141"/>
      <c r="F141"/>
      <c r="G141"/>
    </row>
    <row r="142" spans="1:7">
      <c r="B142" t="s">
        <v>2862</v>
      </c>
      <c r="C142" t="s">
        <v>2863</v>
      </c>
      <c r="D142"/>
      <c r="E142"/>
      <c r="F142"/>
      <c r="G142"/>
    </row>
    <row r="144" spans="1:7">
      <c r="A144" s="971" t="s">
        <v>2870</v>
      </c>
      <c r="B144" t="s">
        <v>50</v>
      </c>
      <c r="C144" s="1" t="s">
        <v>54</v>
      </c>
    </row>
    <row r="145" spans="1:7">
      <c r="B145" s="971" t="s">
        <v>2696</v>
      </c>
      <c r="C145" s="971" t="s">
        <v>2697</v>
      </c>
    </row>
    <row r="146" spans="1:7">
      <c r="B146" s="971" t="s">
        <v>2699</v>
      </c>
      <c r="C146" s="971" t="s">
        <v>2700</v>
      </c>
    </row>
    <row r="147" spans="1:7">
      <c r="B147" s="971" t="s">
        <v>2702</v>
      </c>
      <c r="C147" s="971" t="s">
        <v>2703</v>
      </c>
    </row>
    <row r="149" spans="1:7">
      <c r="A149" s="971" t="s">
        <v>2871</v>
      </c>
      <c r="B149" t="s">
        <v>50</v>
      </c>
      <c r="C149" s="1" t="s">
        <v>54</v>
      </c>
      <c r="D149"/>
      <c r="E149"/>
      <c r="F149"/>
      <c r="G149"/>
    </row>
    <row r="150" spans="1:7">
      <c r="B150" s="971" t="s">
        <v>2872</v>
      </c>
      <c r="C150" s="971" t="s">
        <v>2873</v>
      </c>
      <c r="D150"/>
      <c r="E150"/>
      <c r="F150"/>
      <c r="G150"/>
    </row>
    <row r="151" spans="1:7">
      <c r="B151" s="971" t="s">
        <v>2874</v>
      </c>
      <c r="C151" s="971" t="s">
        <v>2875</v>
      </c>
      <c r="D151"/>
      <c r="E151"/>
      <c r="F151"/>
      <c r="G151"/>
    </row>
    <row r="152" spans="1:7">
      <c r="B152" s="971" t="s">
        <v>2876</v>
      </c>
      <c r="C152" s="971" t="s">
        <v>2877</v>
      </c>
      <c r="D152"/>
      <c r="E152"/>
      <c r="F152"/>
      <c r="G152"/>
    </row>
    <row r="154" spans="1:7">
      <c r="A154" s="971" t="s">
        <v>2878</v>
      </c>
      <c r="B154" t="s">
        <v>50</v>
      </c>
      <c r="C154" s="1" t="s">
        <v>54</v>
      </c>
      <c r="D154"/>
      <c r="E154"/>
      <c r="F154"/>
      <c r="G154"/>
    </row>
    <row r="155" spans="1:7">
      <c r="B155" s="971" t="s">
        <v>2872</v>
      </c>
      <c r="C155" s="971" t="s">
        <v>2873</v>
      </c>
      <c r="D155"/>
      <c r="E155"/>
      <c r="F155"/>
      <c r="G155"/>
    </row>
    <row r="156" spans="1:7">
      <c r="B156" s="971" t="s">
        <v>2874</v>
      </c>
      <c r="C156" s="971" t="s">
        <v>2875</v>
      </c>
      <c r="D156"/>
      <c r="E156"/>
      <c r="F156"/>
      <c r="G156"/>
    </row>
    <row r="157" spans="1:7">
      <c r="B157" s="971" t="s">
        <v>2876</v>
      </c>
      <c r="C157" s="971" t="s">
        <v>2877</v>
      </c>
      <c r="D157"/>
      <c r="E157"/>
      <c r="F157"/>
      <c r="G157"/>
    </row>
    <row r="159" spans="1:7">
      <c r="A159" s="971" t="s">
        <v>2879</v>
      </c>
      <c r="B159" t="s">
        <v>50</v>
      </c>
      <c r="C159" s="1" t="s">
        <v>54</v>
      </c>
      <c r="D159"/>
      <c r="E159"/>
      <c r="F159"/>
      <c r="G159"/>
    </row>
    <row r="160" spans="1:7">
      <c r="B160" s="971" t="s">
        <v>2872</v>
      </c>
      <c r="C160" s="971" t="s">
        <v>2873</v>
      </c>
      <c r="D160"/>
      <c r="E160"/>
      <c r="F160"/>
      <c r="G160"/>
    </row>
    <row r="161" spans="1:7">
      <c r="B161" s="971" t="s">
        <v>2874</v>
      </c>
      <c r="C161" s="971" t="s">
        <v>2875</v>
      </c>
      <c r="D161"/>
      <c r="E161"/>
      <c r="F161"/>
      <c r="G161"/>
    </row>
    <row r="162" spans="1:7">
      <c r="B162" s="971" t="s">
        <v>2876</v>
      </c>
      <c r="C162" s="971" t="s">
        <v>2877</v>
      </c>
      <c r="D162"/>
      <c r="E162"/>
      <c r="F162"/>
      <c r="G162"/>
    </row>
    <row r="164" spans="1:7">
      <c r="A164" s="971" t="s">
        <v>2881</v>
      </c>
      <c r="B164" t="s">
        <v>50</v>
      </c>
      <c r="C164" s="1" t="s">
        <v>54</v>
      </c>
    </row>
    <row r="165" spans="1:7">
      <c r="B165" s="971" t="s">
        <v>2708</v>
      </c>
      <c r="C165" s="971" t="s">
        <v>2709</v>
      </c>
    </row>
    <row r="166" spans="1:7">
      <c r="B166" t="s">
        <v>2711</v>
      </c>
      <c r="C166" t="s">
        <v>2712</v>
      </c>
    </row>
    <row r="167" spans="1:7">
      <c r="B167" t="s">
        <v>2714</v>
      </c>
      <c r="C167" t="s">
        <v>2715</v>
      </c>
    </row>
    <row r="169" spans="1:7">
      <c r="A169" s="971" t="s">
        <v>2882</v>
      </c>
      <c r="B169" t="s">
        <v>50</v>
      </c>
      <c r="C169" s="1" t="s">
        <v>54</v>
      </c>
      <c r="D169"/>
      <c r="E169"/>
      <c r="F169"/>
      <c r="G169"/>
    </row>
    <row r="170" spans="1:7">
      <c r="B170" t="s">
        <v>2872</v>
      </c>
      <c r="C170" s="971" t="s">
        <v>2873</v>
      </c>
      <c r="D170"/>
      <c r="E170"/>
      <c r="F170"/>
      <c r="G170"/>
    </row>
    <row r="171" spans="1:7">
      <c r="B171" t="s">
        <v>2874</v>
      </c>
      <c r="C171" s="971" t="s">
        <v>2875</v>
      </c>
      <c r="D171"/>
      <c r="E171"/>
      <c r="F171"/>
      <c r="G171"/>
    </row>
    <row r="172" spans="1:7">
      <c r="B172" t="s">
        <v>2876</v>
      </c>
      <c r="C172" s="971" t="s">
        <v>2877</v>
      </c>
      <c r="D172"/>
      <c r="E172"/>
      <c r="F172"/>
      <c r="G172"/>
    </row>
    <row r="174" spans="1:7">
      <c r="A174" s="971" t="s">
        <v>2883</v>
      </c>
      <c r="B174" t="s">
        <v>50</v>
      </c>
      <c r="C174" s="1" t="s">
        <v>54</v>
      </c>
      <c r="D174"/>
      <c r="E174"/>
      <c r="F174"/>
      <c r="G174"/>
    </row>
    <row r="175" spans="1:7">
      <c r="B175" t="s">
        <v>2872</v>
      </c>
      <c r="C175" s="971" t="s">
        <v>2873</v>
      </c>
      <c r="D175"/>
      <c r="E175"/>
      <c r="F175"/>
      <c r="G175"/>
    </row>
    <row r="176" spans="1:7">
      <c r="B176" t="s">
        <v>2874</v>
      </c>
      <c r="C176" s="971" t="s">
        <v>2875</v>
      </c>
      <c r="D176"/>
      <c r="E176"/>
      <c r="F176"/>
      <c r="G176"/>
    </row>
    <row r="177" spans="1:7">
      <c r="B177" t="s">
        <v>2876</v>
      </c>
      <c r="C177" s="971" t="s">
        <v>2877</v>
      </c>
      <c r="D177"/>
      <c r="E177"/>
      <c r="F177"/>
      <c r="G177"/>
    </row>
    <row r="179" spans="1:7">
      <c r="A179" s="971" t="s">
        <v>2884</v>
      </c>
      <c r="B179" t="s">
        <v>50</v>
      </c>
      <c r="C179" s="1" t="s">
        <v>54</v>
      </c>
      <c r="D179"/>
      <c r="E179"/>
      <c r="F179"/>
      <c r="G179"/>
    </row>
    <row r="180" spans="1:7">
      <c r="B180" t="s">
        <v>2872</v>
      </c>
      <c r="C180" s="971" t="s">
        <v>2873</v>
      </c>
      <c r="D180"/>
      <c r="E180"/>
      <c r="F180"/>
      <c r="G180"/>
    </row>
    <row r="181" spans="1:7">
      <c r="B181" t="s">
        <v>2874</v>
      </c>
      <c r="C181" s="971" t="s">
        <v>2875</v>
      </c>
      <c r="D181"/>
      <c r="E181"/>
      <c r="F181"/>
      <c r="G181"/>
    </row>
    <row r="182" spans="1:7">
      <c r="B182" t="s">
        <v>2876</v>
      </c>
      <c r="C182" s="971" t="s">
        <v>2877</v>
      </c>
      <c r="D182"/>
      <c r="E182"/>
      <c r="F182"/>
      <c r="G182"/>
    </row>
    <row r="184" spans="1:7">
      <c r="A184" s="971" t="s">
        <v>2885</v>
      </c>
      <c r="B184" t="s">
        <v>50</v>
      </c>
      <c r="C184" s="1" t="s">
        <v>54</v>
      </c>
    </row>
    <row r="185" spans="1:7">
      <c r="B185" t="s">
        <v>2720</v>
      </c>
      <c r="C185" s="584" t="s">
        <v>2721</v>
      </c>
    </row>
    <row r="186" spans="1:7">
      <c r="B186" t="s">
        <v>2723</v>
      </c>
      <c r="C186" s="584" t="s">
        <v>2724</v>
      </c>
    </row>
    <row r="187" spans="1:7">
      <c r="B187" t="s">
        <v>2726</v>
      </c>
      <c r="C187" s="584" t="s">
        <v>2727</v>
      </c>
    </row>
    <row r="189" spans="1:7">
      <c r="A189" s="971" t="s">
        <v>2886</v>
      </c>
      <c r="B189" t="s">
        <v>50</v>
      </c>
      <c r="C189" s="1" t="s">
        <v>54</v>
      </c>
      <c r="D189"/>
      <c r="E189"/>
      <c r="F189"/>
      <c r="G189"/>
    </row>
    <row r="190" spans="1:7">
      <c r="B190" s="971" t="s">
        <v>2887</v>
      </c>
      <c r="C190" s="971" t="s">
        <v>2888</v>
      </c>
      <c r="D190"/>
      <c r="E190"/>
      <c r="F190"/>
      <c r="G190"/>
    </row>
    <row r="191" spans="1:7">
      <c r="B191" s="971" t="s">
        <v>2889</v>
      </c>
      <c r="C191" s="971" t="s">
        <v>2890</v>
      </c>
      <c r="D191"/>
      <c r="E191"/>
      <c r="F191"/>
      <c r="G191"/>
    </row>
    <row r="193" spans="1:7">
      <c r="A193" s="971" t="s">
        <v>2891</v>
      </c>
      <c r="B193" t="s">
        <v>50</v>
      </c>
      <c r="C193" s="1" t="s">
        <v>54</v>
      </c>
      <c r="D193"/>
      <c r="E193"/>
      <c r="F193"/>
      <c r="G193"/>
    </row>
    <row r="194" spans="1:7">
      <c r="A194" s="971"/>
      <c r="B194" s="971" t="s">
        <v>2887</v>
      </c>
      <c r="C194" s="971" t="s">
        <v>2888</v>
      </c>
      <c r="D194"/>
      <c r="E194"/>
      <c r="F194"/>
      <c r="G194"/>
    </row>
    <row r="195" spans="1:7">
      <c r="B195" s="971" t="s">
        <v>2889</v>
      </c>
      <c r="C195" s="971" t="s">
        <v>2890</v>
      </c>
      <c r="D195"/>
      <c r="E195"/>
      <c r="F195"/>
      <c r="G195"/>
    </row>
    <row r="197" spans="1:7">
      <c r="A197" s="971" t="s">
        <v>2892</v>
      </c>
      <c r="B197" t="s">
        <v>50</v>
      </c>
      <c r="C197" s="1" t="s">
        <v>54</v>
      </c>
      <c r="D197"/>
      <c r="E197"/>
      <c r="F197"/>
      <c r="G197"/>
    </row>
    <row r="198" spans="1:7">
      <c r="B198" s="971" t="s">
        <v>2887</v>
      </c>
      <c r="C198" s="971" t="s">
        <v>2888</v>
      </c>
      <c r="D198"/>
      <c r="E198"/>
      <c r="F198"/>
      <c r="G198"/>
    </row>
    <row r="199" spans="1:7">
      <c r="A199" s="971"/>
      <c r="B199" s="971" t="s">
        <v>2889</v>
      </c>
      <c r="C199" s="971" t="s">
        <v>2890</v>
      </c>
      <c r="D199"/>
      <c r="E199"/>
      <c r="F199"/>
      <c r="G199"/>
    </row>
    <row r="201" spans="1:7">
      <c r="A201" s="971" t="s">
        <v>2893</v>
      </c>
      <c r="B201" t="s">
        <v>50</v>
      </c>
      <c r="C201" s="1" t="s">
        <v>54</v>
      </c>
    </row>
    <row r="202" spans="1:7">
      <c r="B202" t="s">
        <v>2732</v>
      </c>
      <c r="C202" t="s">
        <v>2733</v>
      </c>
    </row>
    <row r="203" spans="1:7">
      <c r="B203" t="s">
        <v>2735</v>
      </c>
      <c r="C203" t="s">
        <v>2736</v>
      </c>
    </row>
    <row r="204" spans="1:7">
      <c r="B204" t="s">
        <v>2738</v>
      </c>
      <c r="C204" t="s">
        <v>2739</v>
      </c>
    </row>
    <row r="206" spans="1:7">
      <c r="A206" s="971" t="s">
        <v>2894</v>
      </c>
      <c r="B206" t="s">
        <v>50</v>
      </c>
      <c r="C206" s="1" t="s">
        <v>54</v>
      </c>
      <c r="D206"/>
      <c r="E206"/>
      <c r="F206"/>
      <c r="G206"/>
    </row>
    <row r="207" spans="1:7">
      <c r="B207" s="971" t="s">
        <v>2895</v>
      </c>
      <c r="C207" s="971" t="s">
        <v>2896</v>
      </c>
      <c r="D207"/>
      <c r="E207"/>
      <c r="F207"/>
      <c r="G207"/>
    </row>
    <row r="208" spans="1:7">
      <c r="B208" s="971" t="s">
        <v>2897</v>
      </c>
      <c r="C208" s="971" t="s">
        <v>2898</v>
      </c>
      <c r="D208"/>
      <c r="E208"/>
      <c r="F208"/>
      <c r="G208"/>
    </row>
    <row r="209" spans="1:7">
      <c r="B209" s="971" t="s">
        <v>2899</v>
      </c>
      <c r="C209" s="971" t="s">
        <v>2900</v>
      </c>
      <c r="D209"/>
      <c r="E209"/>
      <c r="F209"/>
      <c r="G209"/>
    </row>
    <row r="210" spans="1:7">
      <c r="B210" s="971" t="s">
        <v>2901</v>
      </c>
      <c r="C210" s="971" t="s">
        <v>2902</v>
      </c>
      <c r="D210"/>
      <c r="E210"/>
      <c r="F210"/>
      <c r="G210"/>
    </row>
    <row r="212" spans="1:7">
      <c r="A212" s="971" t="s">
        <v>2903</v>
      </c>
      <c r="B212" t="s">
        <v>50</v>
      </c>
      <c r="C212" s="1" t="s">
        <v>54</v>
      </c>
      <c r="D212"/>
      <c r="E212"/>
      <c r="F212"/>
      <c r="G212"/>
    </row>
    <row r="213" spans="1:7">
      <c r="B213" s="971" t="s">
        <v>2895</v>
      </c>
      <c r="C213" s="971" t="s">
        <v>2896</v>
      </c>
      <c r="D213"/>
      <c r="E213"/>
      <c r="F213"/>
      <c r="G213"/>
    </row>
    <row r="214" spans="1:7">
      <c r="B214" s="971" t="s">
        <v>2897</v>
      </c>
      <c r="C214" s="971" t="s">
        <v>2898</v>
      </c>
      <c r="D214"/>
      <c r="E214"/>
      <c r="F214"/>
      <c r="G214"/>
    </row>
    <row r="215" spans="1:7">
      <c r="B215" s="971" t="s">
        <v>2899</v>
      </c>
      <c r="C215" s="971" t="s">
        <v>2900</v>
      </c>
      <c r="D215"/>
      <c r="E215"/>
      <c r="F215"/>
      <c r="G215"/>
    </row>
    <row r="216" spans="1:7">
      <c r="B216" s="971" t="s">
        <v>2901</v>
      </c>
      <c r="C216" s="971" t="s">
        <v>2902</v>
      </c>
      <c r="D216"/>
      <c r="E216"/>
      <c r="F216"/>
      <c r="G216"/>
    </row>
    <row r="218" spans="1:7">
      <c r="A218" s="971" t="s">
        <v>2904</v>
      </c>
      <c r="B218" t="s">
        <v>50</v>
      </c>
      <c r="C218" s="1" t="s">
        <v>54</v>
      </c>
      <c r="D218"/>
      <c r="E218"/>
      <c r="F218"/>
      <c r="G218"/>
    </row>
    <row r="219" spans="1:7">
      <c r="B219" s="971" t="s">
        <v>2895</v>
      </c>
      <c r="C219" s="971" t="s">
        <v>2896</v>
      </c>
      <c r="D219"/>
      <c r="E219"/>
      <c r="F219"/>
      <c r="G219"/>
    </row>
    <row r="220" spans="1:7">
      <c r="B220" s="971" t="s">
        <v>2897</v>
      </c>
      <c r="C220" s="971" t="s">
        <v>2898</v>
      </c>
      <c r="D220"/>
      <c r="E220"/>
      <c r="F220"/>
      <c r="G220"/>
    </row>
    <row r="221" spans="1:7">
      <c r="B221" s="971" t="s">
        <v>2899</v>
      </c>
      <c r="C221" s="971" t="s">
        <v>2900</v>
      </c>
      <c r="D221"/>
      <c r="E221"/>
      <c r="F221"/>
      <c r="G221"/>
    </row>
    <row r="222" spans="1:7">
      <c r="B222" s="971" t="s">
        <v>2901</v>
      </c>
      <c r="C222" s="971" t="s">
        <v>2902</v>
      </c>
      <c r="D222"/>
      <c r="E222"/>
      <c r="F222"/>
      <c r="G222"/>
    </row>
    <row r="224" spans="1:7">
      <c r="A224" s="971" t="s">
        <v>2905</v>
      </c>
      <c r="B224" t="s">
        <v>50</v>
      </c>
      <c r="C224" s="1" t="s">
        <v>54</v>
      </c>
      <c r="D224"/>
      <c r="E224"/>
      <c r="F224"/>
      <c r="G224"/>
    </row>
    <row r="225" spans="1:7">
      <c r="B225" s="971" t="s">
        <v>2906</v>
      </c>
      <c r="C225" s="971" t="s">
        <v>2907</v>
      </c>
      <c r="D225"/>
      <c r="E225"/>
      <c r="F225"/>
      <c r="G225"/>
    </row>
    <row r="226" spans="1:7">
      <c r="B226" s="971" t="s">
        <v>2909</v>
      </c>
      <c r="C226" s="971" t="s">
        <v>2910</v>
      </c>
      <c r="D226"/>
      <c r="E226"/>
      <c r="F226"/>
      <c r="G226"/>
    </row>
    <row r="227" spans="1:7">
      <c r="B227" s="971" t="s">
        <v>2912</v>
      </c>
      <c r="C227" s="971" t="s">
        <v>2913</v>
      </c>
      <c r="D227"/>
      <c r="E227"/>
      <c r="F227"/>
      <c r="G227"/>
    </row>
    <row r="230" spans="1:7">
      <c r="A230" s="971" t="s">
        <v>2914</v>
      </c>
      <c r="B230" t="s">
        <v>50</v>
      </c>
      <c r="C230" s="1" t="s">
        <v>54</v>
      </c>
      <c r="D230"/>
      <c r="E230"/>
      <c r="F230"/>
      <c r="G230"/>
    </row>
    <row r="231" spans="1:7">
      <c r="B231" s="971" t="s">
        <v>2915</v>
      </c>
      <c r="C231" s="971" t="s">
        <v>2916</v>
      </c>
      <c r="D231"/>
      <c r="E231"/>
      <c r="F231"/>
      <c r="G231"/>
    </row>
    <row r="232" spans="1:7">
      <c r="B232" s="971" t="s">
        <v>2917</v>
      </c>
      <c r="C232" s="971" t="s">
        <v>2918</v>
      </c>
      <c r="D232"/>
      <c r="E232"/>
      <c r="F232"/>
      <c r="G232"/>
    </row>
    <row r="233" spans="1:7">
      <c r="B233" s="971" t="s">
        <v>2919</v>
      </c>
      <c r="C233" s="971" t="s">
        <v>2920</v>
      </c>
      <c r="D233"/>
      <c r="E233"/>
      <c r="F233"/>
      <c r="G233"/>
    </row>
    <row r="234" spans="1:7">
      <c r="B234" s="971" t="s">
        <v>2921</v>
      </c>
      <c r="C234" s="971" t="s">
        <v>2922</v>
      </c>
      <c r="D234"/>
      <c r="E234"/>
      <c r="F234"/>
      <c r="G234"/>
    </row>
    <row r="235" spans="1:7">
      <c r="B235" s="971" t="s">
        <v>2923</v>
      </c>
      <c r="C235" s="971" t="s">
        <v>2924</v>
      </c>
      <c r="D235"/>
      <c r="E235"/>
      <c r="F235"/>
      <c r="G235"/>
    </row>
    <row r="236" spans="1:7">
      <c r="B236" s="971" t="s">
        <v>2925</v>
      </c>
      <c r="C236" s="971" t="s">
        <v>2926</v>
      </c>
      <c r="D236"/>
      <c r="E236"/>
      <c r="F236"/>
      <c r="G236"/>
    </row>
    <row r="237" spans="1:7">
      <c r="B237" s="971" t="s">
        <v>2927</v>
      </c>
      <c r="C237" s="971" t="s">
        <v>2928</v>
      </c>
      <c r="D237"/>
      <c r="E237"/>
      <c r="F237"/>
      <c r="G237"/>
    </row>
    <row r="238" spans="1:7">
      <c r="B238" s="971" t="s">
        <v>2929</v>
      </c>
      <c r="C238" s="971" t="s">
        <v>2930</v>
      </c>
      <c r="D238"/>
      <c r="E238"/>
      <c r="F238"/>
      <c r="G238"/>
    </row>
    <row r="239" spans="1:7">
      <c r="B239" s="971" t="s">
        <v>2931</v>
      </c>
      <c r="C239" s="971" t="s">
        <v>2932</v>
      </c>
      <c r="D239"/>
      <c r="E239"/>
      <c r="F239"/>
      <c r="G239"/>
    </row>
    <row r="240" spans="1:7">
      <c r="B240" s="971" t="s">
        <v>2933</v>
      </c>
      <c r="C240" s="971" t="s">
        <v>2934</v>
      </c>
      <c r="D240"/>
      <c r="E240"/>
      <c r="F240"/>
      <c r="G240"/>
    </row>
    <row r="242" spans="1:7">
      <c r="A242" s="971" t="s">
        <v>2935</v>
      </c>
      <c r="B242" t="s">
        <v>50</v>
      </c>
      <c r="C242" s="1" t="s">
        <v>54</v>
      </c>
    </row>
    <row r="243" spans="1:7">
      <c r="B243" s="972" t="s">
        <v>2750</v>
      </c>
      <c r="C243" s="972" t="s">
        <v>2936</v>
      </c>
    </row>
    <row r="244" spans="1:7">
      <c r="B244" s="972" t="s">
        <v>2753</v>
      </c>
      <c r="C244" s="972" t="s">
        <v>2754</v>
      </c>
    </row>
    <row r="245" spans="1:7">
      <c r="B245" s="972" t="s">
        <v>2756</v>
      </c>
      <c r="C245" s="972" t="s">
        <v>2757</v>
      </c>
    </row>
    <row r="246" spans="1:7">
      <c r="B246" s="972" t="s">
        <v>2759</v>
      </c>
      <c r="C246" s="972" t="s">
        <v>2760</v>
      </c>
    </row>
    <row r="248" spans="1:7">
      <c r="A248" s="971" t="s">
        <v>2937</v>
      </c>
      <c r="B248" t="s">
        <v>50</v>
      </c>
      <c r="C248" s="1" t="s">
        <v>54</v>
      </c>
      <c r="D248"/>
      <c r="E248"/>
      <c r="F248"/>
      <c r="G248"/>
    </row>
    <row r="249" spans="1:7">
      <c r="B249" s="971" t="s">
        <v>2938</v>
      </c>
      <c r="C249" s="971" t="s">
        <v>2939</v>
      </c>
      <c r="D249"/>
      <c r="E249"/>
      <c r="F249"/>
      <c r="G249"/>
    </row>
    <row r="250" spans="1:7">
      <c r="B250" s="971" t="s">
        <v>2940</v>
      </c>
      <c r="C250" s="971" t="s">
        <v>2941</v>
      </c>
      <c r="D250"/>
      <c r="E250"/>
      <c r="F250"/>
      <c r="G250"/>
    </row>
    <row r="251" spans="1:7">
      <c r="B251" s="971" t="s">
        <v>2942</v>
      </c>
      <c r="C251" s="971" t="s">
        <v>2943</v>
      </c>
      <c r="D251"/>
      <c r="E251"/>
      <c r="F251"/>
      <c r="G251"/>
    </row>
    <row r="252" spans="1:7">
      <c r="B252" s="971" t="s">
        <v>2944</v>
      </c>
      <c r="C252" s="971" t="s">
        <v>2945</v>
      </c>
      <c r="D252"/>
      <c r="E252"/>
      <c r="F252"/>
      <c r="G252"/>
    </row>
    <row r="253" spans="1:7">
      <c r="B253" s="971" t="s">
        <v>2946</v>
      </c>
      <c r="C253" s="971" t="s">
        <v>2947</v>
      </c>
      <c r="D253"/>
      <c r="E253"/>
      <c r="F253"/>
      <c r="G253"/>
    </row>
    <row r="254" spans="1:7">
      <c r="B254" s="971"/>
      <c r="D254" s="975"/>
    </row>
    <row r="255" spans="1:7">
      <c r="A255" s="971" t="s">
        <v>2948</v>
      </c>
      <c r="B255" t="s">
        <v>50</v>
      </c>
      <c r="C255" s="1" t="s">
        <v>54</v>
      </c>
      <c r="D255"/>
      <c r="E255"/>
      <c r="F255"/>
      <c r="G255"/>
    </row>
    <row r="256" spans="1:7">
      <c r="B256" s="971" t="s">
        <v>2949</v>
      </c>
      <c r="C256" s="971" t="s">
        <v>2950</v>
      </c>
      <c r="D256"/>
      <c r="E256"/>
      <c r="F256"/>
      <c r="G256"/>
    </row>
    <row r="257" spans="1:7">
      <c r="B257" s="971" t="s">
        <v>2951</v>
      </c>
      <c r="C257" s="971" t="s">
        <v>2952</v>
      </c>
      <c r="D257"/>
      <c r="E257"/>
      <c r="F257"/>
      <c r="G257"/>
    </row>
    <row r="258" spans="1:7">
      <c r="B258" s="971" t="s">
        <v>2953</v>
      </c>
      <c r="C258" s="971" t="s">
        <v>2954</v>
      </c>
      <c r="D258"/>
      <c r="E258"/>
      <c r="F258"/>
      <c r="G258"/>
    </row>
    <row r="259" spans="1:7">
      <c r="B259" s="971" t="s">
        <v>2955</v>
      </c>
      <c r="C259" s="971" t="s">
        <v>2956</v>
      </c>
      <c r="D259"/>
      <c r="E259"/>
      <c r="F259"/>
      <c r="G259"/>
    </row>
    <row r="261" spans="1:7">
      <c r="A261" s="971" t="s">
        <v>2957</v>
      </c>
      <c r="B261" t="s">
        <v>50</v>
      </c>
      <c r="C261" s="1" t="s">
        <v>54</v>
      </c>
      <c r="D261"/>
      <c r="E261"/>
      <c r="F261"/>
      <c r="G261"/>
    </row>
    <row r="262" spans="1:7">
      <c r="B262" s="971" t="s">
        <v>2958</v>
      </c>
      <c r="C262" s="971" t="s">
        <v>2959</v>
      </c>
      <c r="D262"/>
      <c r="E262"/>
      <c r="F262"/>
      <c r="G262"/>
    </row>
    <row r="263" spans="1:7">
      <c r="B263" s="971" t="s">
        <v>2960</v>
      </c>
      <c r="C263" s="971" t="s">
        <v>2961</v>
      </c>
      <c r="D263"/>
      <c r="E263"/>
      <c r="F263"/>
      <c r="G263"/>
    </row>
    <row r="264" spans="1:7">
      <c r="B264" s="971" t="s">
        <v>2962</v>
      </c>
      <c r="C264" s="971" t="s">
        <v>2963</v>
      </c>
      <c r="D264"/>
      <c r="E264"/>
      <c r="F264"/>
      <c r="G264"/>
    </row>
    <row r="265" spans="1:7">
      <c r="B265" s="971" t="s">
        <v>2964</v>
      </c>
      <c r="C265" s="971" t="s">
        <v>2965</v>
      </c>
      <c r="D265"/>
      <c r="E265"/>
      <c r="F265"/>
      <c r="G265"/>
    </row>
    <row r="266" spans="1:7">
      <c r="B266" s="971" t="s">
        <v>2966</v>
      </c>
      <c r="C266" s="971" t="s">
        <v>2967</v>
      </c>
      <c r="D266"/>
      <c r="E266"/>
      <c r="F266"/>
      <c r="G266"/>
    </row>
    <row r="268" spans="1:7">
      <c r="A268" s="971" t="s">
        <v>2968</v>
      </c>
      <c r="B268" t="s">
        <v>50</v>
      </c>
      <c r="C268" s="1" t="s">
        <v>54</v>
      </c>
      <c r="D268"/>
      <c r="E268"/>
      <c r="F268"/>
      <c r="G268"/>
    </row>
    <row r="269" spans="1:7">
      <c r="A269" s="971"/>
      <c r="B269" t="s">
        <v>2969</v>
      </c>
      <c r="C269" t="s">
        <v>2970</v>
      </c>
      <c r="D269"/>
      <c r="E269"/>
      <c r="F269"/>
      <c r="G269"/>
    </row>
    <row r="270" spans="1:7">
      <c r="B270" s="971" t="s">
        <v>2971</v>
      </c>
      <c r="C270" s="971" t="s">
        <v>2972</v>
      </c>
      <c r="D270"/>
      <c r="E270"/>
      <c r="F270"/>
      <c r="G270"/>
    </row>
    <row r="272" spans="1:7">
      <c r="A272" s="971" t="s">
        <v>2973</v>
      </c>
      <c r="B272" t="s">
        <v>50</v>
      </c>
      <c r="C272" s="1" t="s">
        <v>54</v>
      </c>
      <c r="D272"/>
      <c r="E272"/>
      <c r="F272"/>
      <c r="G272"/>
    </row>
    <row r="273" spans="1:7">
      <c r="B273" s="971" t="s">
        <v>2974</v>
      </c>
      <c r="C273" s="971" t="s">
        <v>2975</v>
      </c>
      <c r="D273"/>
      <c r="E273"/>
      <c r="F273"/>
      <c r="G273"/>
    </row>
    <row r="274" spans="1:7">
      <c r="B274" s="971" t="s">
        <v>2976</v>
      </c>
      <c r="C274" s="971" t="s">
        <v>2977</v>
      </c>
      <c r="D274"/>
      <c r="E274"/>
      <c r="F274"/>
      <c r="G274"/>
    </row>
    <row r="275" spans="1:7">
      <c r="B275" s="971" t="s">
        <v>2978</v>
      </c>
      <c r="C275" s="971" t="s">
        <v>2979</v>
      </c>
      <c r="D275"/>
      <c r="E275"/>
      <c r="F275"/>
      <c r="G275"/>
    </row>
    <row r="276" spans="1:7">
      <c r="B276" s="971" t="s">
        <v>2980</v>
      </c>
      <c r="C276" s="971" t="s">
        <v>2981</v>
      </c>
      <c r="D276"/>
      <c r="E276"/>
      <c r="F276"/>
      <c r="G276"/>
    </row>
    <row r="277" spans="1:7">
      <c r="B277" s="971" t="s">
        <v>2982</v>
      </c>
      <c r="C277" s="971" t="s">
        <v>2983</v>
      </c>
      <c r="D277"/>
      <c r="E277"/>
      <c r="F277"/>
      <c r="G277"/>
    </row>
    <row r="278" spans="1:7">
      <c r="B278" s="971" t="s">
        <v>2984</v>
      </c>
      <c r="C278" s="971" t="s">
        <v>2985</v>
      </c>
      <c r="D278"/>
      <c r="E278"/>
      <c r="F278"/>
      <c r="G278"/>
    </row>
    <row r="279" spans="1:7">
      <c r="B279" s="971" t="s">
        <v>2986</v>
      </c>
      <c r="C279" s="971" t="s">
        <v>2987</v>
      </c>
      <c r="D279"/>
      <c r="E279"/>
      <c r="F279"/>
      <c r="G279"/>
    </row>
    <row r="281" spans="1:7">
      <c r="A281" s="971" t="s">
        <v>2988</v>
      </c>
      <c r="B281" t="s">
        <v>50</v>
      </c>
      <c r="C281" s="1" t="s">
        <v>54</v>
      </c>
    </row>
    <row r="282" spans="1:7">
      <c r="B282" t="s">
        <v>2768</v>
      </c>
      <c r="C282" t="s">
        <v>2769</v>
      </c>
    </row>
    <row r="283" spans="1:7">
      <c r="B283" t="s">
        <v>2771</v>
      </c>
      <c r="C283" t="s">
        <v>2772</v>
      </c>
    </row>
    <row r="284" spans="1:7">
      <c r="B284" t="s">
        <v>2774</v>
      </c>
      <c r="C284" t="s">
        <v>2775</v>
      </c>
    </row>
    <row r="285" spans="1:7">
      <c r="B285" t="s">
        <v>2777</v>
      </c>
      <c r="C285" t="s">
        <v>2778</v>
      </c>
    </row>
    <row r="287" spans="1:7">
      <c r="A287" s="971" t="s">
        <v>2989</v>
      </c>
      <c r="B287" t="s">
        <v>50</v>
      </c>
      <c r="C287" s="1" t="s">
        <v>54</v>
      </c>
      <c r="D287"/>
      <c r="E287"/>
      <c r="F287"/>
      <c r="G287"/>
    </row>
    <row r="288" spans="1:7">
      <c r="B288" s="971" t="s">
        <v>2990</v>
      </c>
      <c r="C288" s="971" t="s">
        <v>2991</v>
      </c>
      <c r="D288"/>
      <c r="E288"/>
      <c r="F288"/>
      <c r="G288"/>
    </row>
    <row r="289" spans="1:7">
      <c r="B289" s="971" t="s">
        <v>2992</v>
      </c>
      <c r="C289" s="971" t="s">
        <v>2993</v>
      </c>
      <c r="D289"/>
      <c r="E289"/>
      <c r="F289"/>
      <c r="G289"/>
    </row>
    <row r="290" spans="1:7">
      <c r="B290" s="971" t="s">
        <v>2995</v>
      </c>
      <c r="C290" s="971" t="s">
        <v>2996</v>
      </c>
      <c r="D290"/>
      <c r="E290"/>
      <c r="F290"/>
      <c r="G290"/>
    </row>
    <row r="291" spans="1:7">
      <c r="B291" s="971" t="s">
        <v>2998</v>
      </c>
      <c r="C291" s="971" t="s">
        <v>2999</v>
      </c>
      <c r="D291"/>
      <c r="E291"/>
      <c r="F291"/>
      <c r="G291"/>
    </row>
    <row r="292" spans="1:7">
      <c r="B292" s="971" t="s">
        <v>3000</v>
      </c>
      <c r="C292" s="971" t="s">
        <v>3001</v>
      </c>
      <c r="D292"/>
      <c r="E292"/>
      <c r="F292"/>
      <c r="G292"/>
    </row>
    <row r="293" spans="1:7">
      <c r="B293" s="971" t="s">
        <v>3002</v>
      </c>
      <c r="C293" s="971" t="s">
        <v>3003</v>
      </c>
      <c r="D293"/>
      <c r="E293"/>
      <c r="F293"/>
      <c r="G293"/>
    </row>
    <row r="294" spans="1:7">
      <c r="B294" s="971" t="s">
        <v>3004</v>
      </c>
      <c r="C294" s="971" t="s">
        <v>3005</v>
      </c>
      <c r="D294"/>
      <c r="E294"/>
      <c r="F294"/>
      <c r="G294"/>
    </row>
    <row r="295" spans="1:7">
      <c r="B295" s="971" t="s">
        <v>3006</v>
      </c>
      <c r="C295" s="971" t="s">
        <v>3007</v>
      </c>
      <c r="D295"/>
      <c r="E295"/>
      <c r="F295"/>
      <c r="G295"/>
    </row>
    <row r="296" spans="1:7">
      <c r="B296" s="971" t="s">
        <v>3008</v>
      </c>
      <c r="C296" s="971" t="s">
        <v>3009</v>
      </c>
      <c r="D296"/>
      <c r="E296"/>
      <c r="F296"/>
      <c r="G296"/>
    </row>
    <row r="298" spans="1:7">
      <c r="A298" s="971" t="s">
        <v>3010</v>
      </c>
      <c r="B298" t="s">
        <v>50</v>
      </c>
      <c r="C298" s="1" t="s">
        <v>54</v>
      </c>
      <c r="D298"/>
      <c r="E298"/>
      <c r="F298"/>
      <c r="G298"/>
    </row>
    <row r="299" spans="1:7">
      <c r="B299" s="971" t="s">
        <v>3011</v>
      </c>
      <c r="C299" s="971" t="s">
        <v>3012</v>
      </c>
      <c r="D299"/>
      <c r="E299"/>
      <c r="F299"/>
      <c r="G299"/>
    </row>
    <row r="300" spans="1:7">
      <c r="B300" s="971" t="s">
        <v>3013</v>
      </c>
      <c r="C300" s="971" t="s">
        <v>3014</v>
      </c>
      <c r="D300"/>
      <c r="E300"/>
      <c r="F300"/>
      <c r="G300"/>
    </row>
    <row r="301" spans="1:7">
      <c r="B301" s="971" t="s">
        <v>3015</v>
      </c>
      <c r="C301" s="971" t="s">
        <v>3016</v>
      </c>
      <c r="D301"/>
      <c r="E301"/>
      <c r="F301"/>
      <c r="G301"/>
    </row>
    <row r="302" spans="1:7">
      <c r="B302" s="971" t="s">
        <v>3017</v>
      </c>
      <c r="C302" s="971" t="s">
        <v>3018</v>
      </c>
      <c r="D302"/>
      <c r="E302"/>
      <c r="F302"/>
      <c r="G302"/>
    </row>
    <row r="303" spans="1:7">
      <c r="B303" s="971" t="s">
        <v>3019</v>
      </c>
      <c r="C303" s="971" t="s">
        <v>3020</v>
      </c>
      <c r="D303"/>
      <c r="E303"/>
      <c r="F303"/>
      <c r="G303"/>
    </row>
    <row r="304" spans="1:7">
      <c r="B304" s="971" t="s">
        <v>3021</v>
      </c>
      <c r="C304" s="971" t="s">
        <v>3022</v>
      </c>
      <c r="D304"/>
      <c r="E304"/>
      <c r="F304"/>
      <c r="G304"/>
    </row>
    <row r="305" spans="1:7">
      <c r="B305" s="971" t="s">
        <v>3023</v>
      </c>
      <c r="C305" s="971" t="s">
        <v>3024</v>
      </c>
      <c r="D305"/>
      <c r="E305"/>
      <c r="F305"/>
      <c r="G305"/>
    </row>
    <row r="306" spans="1:7">
      <c r="B306" s="971" t="s">
        <v>3025</v>
      </c>
      <c r="C306" s="971" t="s">
        <v>3026</v>
      </c>
      <c r="D306"/>
      <c r="E306"/>
      <c r="F306"/>
      <c r="G306"/>
    </row>
    <row r="307" spans="1:7">
      <c r="B307" s="971" t="s">
        <v>3027</v>
      </c>
      <c r="C307" s="971" t="s">
        <v>3028</v>
      </c>
      <c r="D307"/>
      <c r="E307"/>
      <c r="F307"/>
      <c r="G307"/>
    </row>
    <row r="308" spans="1:7">
      <c r="B308" s="971" t="s">
        <v>3029</v>
      </c>
      <c r="C308" s="971" t="s">
        <v>3030</v>
      </c>
      <c r="D308"/>
      <c r="E308"/>
      <c r="F308"/>
      <c r="G308"/>
    </row>
    <row r="309" spans="1:7">
      <c r="B309" s="971" t="s">
        <v>3031</v>
      </c>
      <c r="C309" s="971" t="s">
        <v>3032</v>
      </c>
      <c r="D309"/>
      <c r="E309"/>
      <c r="F309"/>
      <c r="G309"/>
    </row>
    <row r="311" spans="1:7">
      <c r="A311" s="971" t="s">
        <v>3033</v>
      </c>
      <c r="B311" t="s">
        <v>50</v>
      </c>
      <c r="C311" s="1" t="s">
        <v>54</v>
      </c>
      <c r="D311"/>
      <c r="E311"/>
      <c r="F311"/>
      <c r="G311"/>
    </row>
    <row r="312" spans="1:7">
      <c r="B312" s="971" t="s">
        <v>3034</v>
      </c>
      <c r="C312" s="971" t="s">
        <v>3035</v>
      </c>
      <c r="D312"/>
      <c r="E312"/>
      <c r="F312"/>
      <c r="G312"/>
    </row>
    <row r="313" spans="1:7">
      <c r="B313" s="971" t="s">
        <v>3036</v>
      </c>
      <c r="C313" s="971" t="s">
        <v>3037</v>
      </c>
      <c r="D313"/>
      <c r="E313"/>
      <c r="F313"/>
      <c r="G313"/>
    </row>
    <row r="314" spans="1:7">
      <c r="B314" s="971" t="s">
        <v>3038</v>
      </c>
      <c r="C314" s="971" t="s">
        <v>3039</v>
      </c>
      <c r="D314"/>
      <c r="E314"/>
      <c r="F314"/>
      <c r="G314"/>
    </row>
    <row r="315" spans="1:7">
      <c r="B315" s="971" t="s">
        <v>3040</v>
      </c>
      <c r="C315" s="971" t="s">
        <v>3041</v>
      </c>
      <c r="D315"/>
      <c r="E315"/>
      <c r="F315"/>
      <c r="G315"/>
    </row>
    <row r="316" spans="1:7">
      <c r="B316" s="971" t="s">
        <v>3042</v>
      </c>
      <c r="C316" s="971" t="s">
        <v>3043</v>
      </c>
      <c r="D316"/>
      <c r="E316"/>
      <c r="F316"/>
      <c r="G316"/>
    </row>
    <row r="317" spans="1:7">
      <c r="B317" s="971" t="s">
        <v>3044</v>
      </c>
      <c r="C317" s="971" t="s">
        <v>3045</v>
      </c>
      <c r="D317"/>
      <c r="E317"/>
      <c r="F317"/>
      <c r="G317"/>
    </row>
    <row r="318" spans="1:7">
      <c r="B318" s="971" t="s">
        <v>3046</v>
      </c>
      <c r="C318" s="971" t="s">
        <v>3047</v>
      </c>
      <c r="D318"/>
      <c r="E318"/>
      <c r="F318"/>
      <c r="G318"/>
    </row>
    <row r="319" spans="1:7">
      <c r="B319" s="971" t="s">
        <v>3048</v>
      </c>
      <c r="C319" s="971" t="s">
        <v>3049</v>
      </c>
      <c r="D319"/>
      <c r="E319"/>
      <c r="F319"/>
      <c r="G319"/>
    </row>
    <row r="321" spans="1:7">
      <c r="A321" s="971" t="s">
        <v>3050</v>
      </c>
      <c r="B321" t="s">
        <v>50</v>
      </c>
      <c r="C321" s="1" t="s">
        <v>54</v>
      </c>
      <c r="D321"/>
      <c r="E321"/>
      <c r="F321"/>
      <c r="G321"/>
    </row>
    <row r="322" spans="1:7">
      <c r="B322" s="971" t="s">
        <v>3051</v>
      </c>
      <c r="C322" s="971" t="s">
        <v>3052</v>
      </c>
      <c r="D322"/>
      <c r="E322"/>
      <c r="F322"/>
      <c r="G322"/>
    </row>
    <row r="323" spans="1:7">
      <c r="B323" s="971" t="s">
        <v>3053</v>
      </c>
      <c r="C323" s="971" t="s">
        <v>3054</v>
      </c>
      <c r="D323"/>
      <c r="E323"/>
      <c r="F323"/>
      <c r="G323"/>
    </row>
    <row r="325" spans="1:7">
      <c r="A325" s="971" t="s">
        <v>3055</v>
      </c>
      <c r="B325" t="s">
        <v>50</v>
      </c>
      <c r="C325" s="1" t="s">
        <v>54</v>
      </c>
    </row>
    <row r="326" spans="1:7">
      <c r="B326" s="971" t="s">
        <v>2783</v>
      </c>
      <c r="C326" s="971" t="s">
        <v>2784</v>
      </c>
    </row>
    <row r="327" spans="1:7">
      <c r="B327" s="971" t="s">
        <v>2786</v>
      </c>
      <c r="C327" s="971" t="s">
        <v>2787</v>
      </c>
    </row>
    <row r="329" spans="1:7">
      <c r="A329" s="971" t="s">
        <v>3056</v>
      </c>
      <c r="B329" t="s">
        <v>50</v>
      </c>
      <c r="C329" s="1" t="s">
        <v>54</v>
      </c>
      <c r="D329"/>
      <c r="E329"/>
      <c r="F329"/>
      <c r="G329"/>
    </row>
    <row r="330" spans="1:7">
      <c r="B330" s="971" t="s">
        <v>3057</v>
      </c>
      <c r="C330" s="971" t="s">
        <v>3058</v>
      </c>
      <c r="D330"/>
      <c r="E330"/>
      <c r="F330"/>
      <c r="G330"/>
    </row>
    <row r="331" spans="1:7">
      <c r="B331" s="971" t="s">
        <v>3059</v>
      </c>
      <c r="C331" s="971" t="s">
        <v>3060</v>
      </c>
      <c r="D331"/>
      <c r="E331"/>
      <c r="F331"/>
      <c r="G331"/>
    </row>
    <row r="332" spans="1:7">
      <c r="C332"/>
    </row>
    <row r="333" spans="1:7">
      <c r="A333" s="971" t="s">
        <v>3061</v>
      </c>
      <c r="B333" t="s">
        <v>50</v>
      </c>
      <c r="C333" s="1" t="s">
        <v>54</v>
      </c>
      <c r="D333"/>
      <c r="E333"/>
      <c r="F333"/>
      <c r="G333"/>
    </row>
    <row r="334" spans="1:7">
      <c r="B334" s="971" t="s">
        <v>3062</v>
      </c>
      <c r="C334" s="971" t="s">
        <v>3063</v>
      </c>
      <c r="D334"/>
      <c r="E334"/>
      <c r="F334"/>
      <c r="G334"/>
    </row>
    <row r="335" spans="1:7">
      <c r="B335" s="971" t="s">
        <v>3065</v>
      </c>
      <c r="C335" s="971" t="s">
        <v>3066</v>
      </c>
      <c r="D335"/>
      <c r="E335"/>
      <c r="F335"/>
      <c r="G335"/>
    </row>
    <row r="336" spans="1:7">
      <c r="B336" s="971" t="s">
        <v>3068</v>
      </c>
      <c r="C336" s="971" t="s">
        <v>3069</v>
      </c>
      <c r="D336"/>
      <c r="E336"/>
      <c r="F336"/>
      <c r="G336"/>
    </row>
    <row r="337" spans="1:7">
      <c r="B337" s="971" t="s">
        <v>3071</v>
      </c>
      <c r="C337" s="971" t="s">
        <v>3072</v>
      </c>
      <c r="D337"/>
      <c r="E337"/>
      <c r="F337"/>
      <c r="G337"/>
    </row>
    <row r="338" spans="1:7">
      <c r="B338" s="971" t="s">
        <v>3073</v>
      </c>
      <c r="C338" s="971" t="s">
        <v>3074</v>
      </c>
      <c r="D338"/>
      <c r="E338"/>
      <c r="F338"/>
      <c r="G338"/>
    </row>
    <row r="339" spans="1:7">
      <c r="B339" s="971" t="s">
        <v>3075</v>
      </c>
      <c r="C339" s="971" t="s">
        <v>3076</v>
      </c>
      <c r="D339"/>
      <c r="E339"/>
      <c r="F339"/>
      <c r="G339"/>
    </row>
    <row r="340" spans="1:7">
      <c r="B340" s="971" t="s">
        <v>3077</v>
      </c>
      <c r="C340" s="971" t="s">
        <v>3078</v>
      </c>
      <c r="D340"/>
      <c r="E340"/>
      <c r="F340"/>
      <c r="G340"/>
    </row>
    <row r="342" spans="1:7">
      <c r="A342" s="971" t="s">
        <v>3079</v>
      </c>
      <c r="B342" t="s">
        <v>50</v>
      </c>
      <c r="C342" s="1" t="s">
        <v>54</v>
      </c>
    </row>
    <row r="343" spans="1:7">
      <c r="B343" t="s">
        <v>2792</v>
      </c>
      <c r="C343" s="584" t="s">
        <v>2793</v>
      </c>
    </row>
    <row r="344" spans="1:7">
      <c r="B344" t="s">
        <v>2795</v>
      </c>
      <c r="C344" s="584" t="s">
        <v>2796</v>
      </c>
    </row>
    <row r="346" spans="1:7">
      <c r="A346" s="971" t="s">
        <v>3080</v>
      </c>
      <c r="B346" s="976" t="s">
        <v>50</v>
      </c>
      <c r="C346" s="977" t="s">
        <v>54</v>
      </c>
      <c r="D346"/>
      <c r="E346"/>
      <c r="F346"/>
      <c r="G346"/>
    </row>
    <row r="347" spans="1:7">
      <c r="B347" s="971" t="s">
        <v>3081</v>
      </c>
      <c r="C347" s="584" t="s">
        <v>3082</v>
      </c>
      <c r="D347"/>
      <c r="E347"/>
      <c r="F347"/>
      <c r="G347"/>
    </row>
    <row r="348" spans="1:7">
      <c r="B348" s="971" t="s">
        <v>3083</v>
      </c>
      <c r="C348" s="584" t="s">
        <v>3084</v>
      </c>
      <c r="D348"/>
      <c r="E348"/>
      <c r="F348"/>
      <c r="G348"/>
    </row>
    <row r="349" spans="1:7">
      <c r="B349" s="971" t="s">
        <v>3085</v>
      </c>
      <c r="C349" s="584" t="s">
        <v>3086</v>
      </c>
      <c r="D349"/>
      <c r="E349"/>
      <c r="F349"/>
      <c r="G349"/>
    </row>
    <row r="350" spans="1:7">
      <c r="B350" s="971" t="s">
        <v>3087</v>
      </c>
      <c r="C350" s="584" t="s">
        <v>3088</v>
      </c>
      <c r="D350"/>
      <c r="E350"/>
      <c r="F350"/>
      <c r="G350"/>
    </row>
    <row r="351" spans="1:7">
      <c r="B351" s="971" t="s">
        <v>3089</v>
      </c>
      <c r="C351" s="584" t="s">
        <v>3090</v>
      </c>
      <c r="D351"/>
      <c r="E351"/>
      <c r="F351"/>
      <c r="G351"/>
    </row>
    <row r="352" spans="1:7">
      <c r="B352" s="971" t="s">
        <v>3091</v>
      </c>
      <c r="C352" s="584" t="s">
        <v>3092</v>
      </c>
      <c r="D352"/>
      <c r="E352"/>
      <c r="F352"/>
      <c r="G352"/>
    </row>
    <row r="354" spans="1:7">
      <c r="A354" s="971" t="s">
        <v>3093</v>
      </c>
      <c r="B354" t="s">
        <v>50</v>
      </c>
      <c r="C354" s="1" t="s">
        <v>54</v>
      </c>
      <c r="D354"/>
      <c r="E354"/>
      <c r="F354"/>
      <c r="G354"/>
    </row>
    <row r="355" spans="1:7">
      <c r="B355" s="971" t="s">
        <v>3094</v>
      </c>
      <c r="C355" s="584" t="s">
        <v>3095</v>
      </c>
      <c r="D355"/>
      <c r="E355"/>
      <c r="F355"/>
      <c r="G355"/>
    </row>
    <row r="356" spans="1:7">
      <c r="B356" s="971" t="s">
        <v>3096</v>
      </c>
      <c r="C356" s="584" t="s">
        <v>3097</v>
      </c>
      <c r="D356"/>
      <c r="E356"/>
      <c r="F356"/>
      <c r="G356"/>
    </row>
    <row r="357" spans="1:7">
      <c r="B357" s="971" t="s">
        <v>3098</v>
      </c>
      <c r="C357" s="584" t="s">
        <v>3099</v>
      </c>
      <c r="D357"/>
      <c r="E357"/>
      <c r="F357"/>
      <c r="G357"/>
    </row>
    <row r="358" spans="1:7">
      <c r="B358" s="971" t="s">
        <v>3100</v>
      </c>
      <c r="C358" s="584" t="s">
        <v>3101</v>
      </c>
      <c r="D358"/>
      <c r="E358"/>
      <c r="F358"/>
      <c r="G358"/>
    </row>
    <row r="359" spans="1:7">
      <c r="B359" s="971" t="s">
        <v>3102</v>
      </c>
      <c r="C359" s="584" t="s">
        <v>3103</v>
      </c>
      <c r="D359"/>
      <c r="E359"/>
      <c r="F359"/>
      <c r="G359"/>
    </row>
    <row r="360" spans="1:7">
      <c r="B360" s="971" t="s">
        <v>3104</v>
      </c>
      <c r="C360" s="584" t="s">
        <v>3105</v>
      </c>
      <c r="D360"/>
      <c r="E360"/>
      <c r="F360"/>
      <c r="G360"/>
    </row>
    <row r="361" spans="1:7">
      <c r="B361" s="971" t="s">
        <v>3106</v>
      </c>
      <c r="C361" s="584" t="s">
        <v>3107</v>
      </c>
      <c r="D361"/>
      <c r="E361"/>
      <c r="F361"/>
      <c r="G361"/>
    </row>
    <row r="362" spans="1:7">
      <c r="B362" s="971" t="s">
        <v>3108</v>
      </c>
      <c r="C362" s="584" t="s">
        <v>3109</v>
      </c>
      <c r="D362"/>
      <c r="E362"/>
      <c r="F362"/>
      <c r="G362"/>
    </row>
    <row r="363" spans="1:7">
      <c r="B363" s="971" t="s">
        <v>3110</v>
      </c>
      <c r="C363" s="584" t="s">
        <v>3111</v>
      </c>
      <c r="D363"/>
      <c r="E363"/>
      <c r="F363"/>
      <c r="G363"/>
    </row>
    <row r="364" spans="1:7">
      <c r="B364" s="971" t="s">
        <v>3112</v>
      </c>
      <c r="C364" s="584" t="s">
        <v>3113</v>
      </c>
      <c r="D364"/>
      <c r="E364"/>
      <c r="F364"/>
      <c r="G364"/>
    </row>
    <row r="366" spans="1:7">
      <c r="A366" s="971" t="s">
        <v>3114</v>
      </c>
      <c r="B366" t="s">
        <v>50</v>
      </c>
      <c r="C366" s="1" t="s">
        <v>54</v>
      </c>
    </row>
    <row r="367" spans="1:7">
      <c r="B367" t="s">
        <v>2801</v>
      </c>
      <c r="C367" s="584" t="s">
        <v>3115</v>
      </c>
    </row>
    <row r="368" spans="1:7">
      <c r="B368" t="s">
        <v>2804</v>
      </c>
      <c r="C368" s="584" t="s">
        <v>2805</v>
      </c>
    </row>
    <row r="369" spans="1:7">
      <c r="B369" t="s">
        <v>2807</v>
      </c>
      <c r="C369" s="584" t="s">
        <v>2808</v>
      </c>
    </row>
    <row r="371" spans="1:7">
      <c r="A371" s="971" t="s">
        <v>3116</v>
      </c>
      <c r="B371" t="s">
        <v>50</v>
      </c>
      <c r="C371" s="1" t="s">
        <v>54</v>
      </c>
      <c r="D371"/>
      <c r="E371"/>
      <c r="F371"/>
      <c r="G371"/>
    </row>
    <row r="372" spans="1:7">
      <c r="B372" s="971" t="s">
        <v>3117</v>
      </c>
      <c r="C372" s="584" t="s">
        <v>3118</v>
      </c>
      <c r="D372"/>
      <c r="E372"/>
      <c r="F372"/>
      <c r="G372"/>
    </row>
    <row r="373" spans="1:7">
      <c r="B373" s="971" t="s">
        <v>3119</v>
      </c>
      <c r="C373" s="584" t="s">
        <v>3120</v>
      </c>
      <c r="D373"/>
      <c r="E373"/>
      <c r="F373"/>
      <c r="G373"/>
    </row>
    <row r="374" spans="1:7">
      <c r="B374" s="971" t="s">
        <v>3121</v>
      </c>
      <c r="C374" s="584" t="s">
        <v>3122</v>
      </c>
      <c r="D374"/>
      <c r="E374"/>
      <c r="F374"/>
      <c r="G374"/>
    </row>
    <row r="375" spans="1:7">
      <c r="B375" s="971" t="s">
        <v>3123</v>
      </c>
      <c r="C375" s="584" t="s">
        <v>3124</v>
      </c>
      <c r="D375"/>
      <c r="E375"/>
      <c r="F375"/>
      <c r="G375"/>
    </row>
    <row r="376" spans="1:7">
      <c r="B376" s="971" t="s">
        <v>3125</v>
      </c>
      <c r="C376" s="584" t="s">
        <v>3126</v>
      </c>
      <c r="D376"/>
      <c r="E376"/>
      <c r="F376"/>
      <c r="G376"/>
    </row>
    <row r="377" spans="1:7">
      <c r="B377" s="971" t="s">
        <v>3127</v>
      </c>
      <c r="C377" s="584" t="s">
        <v>3128</v>
      </c>
      <c r="D377"/>
      <c r="E377"/>
      <c r="F377"/>
      <c r="G377"/>
    </row>
    <row r="378" spans="1:7">
      <c r="B378" s="971" t="s">
        <v>3129</v>
      </c>
      <c r="C378" s="584" t="s">
        <v>3130</v>
      </c>
      <c r="D378"/>
      <c r="E378"/>
      <c r="F378"/>
      <c r="G378"/>
    </row>
    <row r="379" spans="1:7">
      <c r="B379" s="971" t="s">
        <v>3131</v>
      </c>
      <c r="C379" s="584" t="s">
        <v>3132</v>
      </c>
      <c r="D379"/>
      <c r="E379"/>
      <c r="F379"/>
      <c r="G379"/>
    </row>
    <row r="380" spans="1:7">
      <c r="B380" s="971" t="s">
        <v>3133</v>
      </c>
      <c r="C380" s="584" t="s">
        <v>3134</v>
      </c>
      <c r="D380"/>
      <c r="E380"/>
      <c r="F380"/>
      <c r="G380"/>
    </row>
    <row r="382" spans="1:7">
      <c r="A382" s="971" t="s">
        <v>3135</v>
      </c>
      <c r="B382" t="s">
        <v>50</v>
      </c>
      <c r="C382" s="1" t="s">
        <v>54</v>
      </c>
      <c r="D382"/>
      <c r="E382"/>
      <c r="F382"/>
      <c r="G382"/>
    </row>
    <row r="383" spans="1:7">
      <c r="B383" s="971" t="s">
        <v>3136</v>
      </c>
      <c r="C383" s="584" t="s">
        <v>3137</v>
      </c>
      <c r="D383"/>
      <c r="E383"/>
      <c r="F383"/>
      <c r="G383"/>
    </row>
    <row r="384" spans="1:7">
      <c r="B384" s="971" t="s">
        <v>3138</v>
      </c>
      <c r="C384" s="584" t="s">
        <v>3139</v>
      </c>
      <c r="D384"/>
      <c r="E384"/>
      <c r="F384"/>
      <c r="G384"/>
    </row>
    <row r="385" spans="1:7">
      <c r="B385" s="971" t="s">
        <v>3140</v>
      </c>
      <c r="C385" s="584" t="s">
        <v>3141</v>
      </c>
      <c r="D385"/>
      <c r="E385"/>
      <c r="F385"/>
      <c r="G385"/>
    </row>
    <row r="386" spans="1:7">
      <c r="B386" s="971" t="s">
        <v>3142</v>
      </c>
      <c r="C386" s="584" t="s">
        <v>3143</v>
      </c>
      <c r="D386"/>
      <c r="E386"/>
      <c r="F386"/>
      <c r="G386"/>
    </row>
    <row r="387" spans="1:7">
      <c r="B387" s="971" t="s">
        <v>3144</v>
      </c>
      <c r="C387" s="584" t="s">
        <v>3145</v>
      </c>
      <c r="D387"/>
      <c r="E387"/>
      <c r="F387"/>
      <c r="G387"/>
    </row>
    <row r="388" spans="1:7">
      <c r="B388" s="971" t="s">
        <v>3146</v>
      </c>
      <c r="C388" s="584" t="s">
        <v>3147</v>
      </c>
      <c r="D388"/>
      <c r="E388"/>
      <c r="F388"/>
      <c r="G388"/>
    </row>
    <row r="390" spans="1:7">
      <c r="A390" s="971" t="s">
        <v>3148</v>
      </c>
      <c r="B390" t="s">
        <v>50</v>
      </c>
      <c r="C390" s="1" t="s">
        <v>54</v>
      </c>
      <c r="D390"/>
      <c r="E390"/>
      <c r="F390"/>
      <c r="G390"/>
    </row>
    <row r="391" spans="1:7">
      <c r="B391" s="971" t="s">
        <v>3149</v>
      </c>
      <c r="C391" s="584" t="s">
        <v>3150</v>
      </c>
      <c r="D391"/>
      <c r="E391"/>
      <c r="F391"/>
      <c r="G391"/>
    </row>
    <row r="392" spans="1:7">
      <c r="B392" s="971" t="s">
        <v>3151</v>
      </c>
      <c r="C392" s="584" t="s">
        <v>3152</v>
      </c>
      <c r="D392"/>
      <c r="E392"/>
      <c r="F392"/>
      <c r="G392"/>
    </row>
    <row r="393" spans="1:7">
      <c r="B393" s="971" t="s">
        <v>3153</v>
      </c>
      <c r="C393" s="584" t="s">
        <v>3154</v>
      </c>
      <c r="D393"/>
      <c r="E393"/>
      <c r="F393"/>
      <c r="G393"/>
    </row>
    <row r="394" spans="1:7">
      <c r="B394" s="971" t="s">
        <v>3155</v>
      </c>
      <c r="C394" s="584" t="s">
        <v>3156</v>
      </c>
      <c r="D394"/>
      <c r="E394"/>
      <c r="F394"/>
      <c r="G394"/>
    </row>
    <row r="396" spans="1:7">
      <c r="A396" s="971" t="s">
        <v>3157</v>
      </c>
      <c r="B396" t="s">
        <v>50</v>
      </c>
      <c r="C396" s="1" t="s">
        <v>54</v>
      </c>
      <c r="D396"/>
      <c r="E396"/>
      <c r="F396"/>
      <c r="G396"/>
    </row>
    <row r="397" spans="1:7">
      <c r="B397" s="971" t="s">
        <v>3158</v>
      </c>
      <c r="C397" s="971" t="s">
        <v>3159</v>
      </c>
      <c r="D397"/>
      <c r="E397"/>
      <c r="F397"/>
      <c r="G397"/>
    </row>
    <row r="398" spans="1:7">
      <c r="B398" s="971" t="s">
        <v>3160</v>
      </c>
      <c r="C398" s="971" t="s">
        <v>3161</v>
      </c>
      <c r="D398"/>
      <c r="E398"/>
      <c r="F398"/>
      <c r="G398"/>
    </row>
    <row r="399" spans="1:7">
      <c r="B399" s="971" t="s">
        <v>3162</v>
      </c>
      <c r="C399" s="971" t="s">
        <v>3163</v>
      </c>
      <c r="D399"/>
      <c r="E399"/>
      <c r="F399"/>
      <c r="G399"/>
    </row>
    <row r="400" spans="1:7">
      <c r="B400" s="971" t="s">
        <v>3164</v>
      </c>
      <c r="C400" s="971" t="s">
        <v>3165</v>
      </c>
      <c r="D400"/>
      <c r="E400"/>
      <c r="F400"/>
      <c r="G400"/>
    </row>
    <row r="401" spans="2:7">
      <c r="B401" s="971" t="s">
        <v>3166</v>
      </c>
      <c r="C401" s="971" t="s">
        <v>3167</v>
      </c>
      <c r="D401"/>
      <c r="E401"/>
      <c r="F401"/>
      <c r="G401"/>
    </row>
    <row r="402" spans="2:7">
      <c r="B402" s="971" t="s">
        <v>3168</v>
      </c>
      <c r="C402" s="971" t="s">
        <v>3169</v>
      </c>
      <c r="D402"/>
      <c r="E402"/>
      <c r="F402"/>
      <c r="G402"/>
    </row>
    <row r="403" spans="2:7">
      <c r="B403" s="971" t="s">
        <v>3170</v>
      </c>
      <c r="C403" s="971" t="s">
        <v>3171</v>
      </c>
      <c r="D403"/>
      <c r="E403"/>
      <c r="F403"/>
      <c r="G403"/>
    </row>
    <row r="404" spans="2:7">
      <c r="B404" s="971" t="s">
        <v>3172</v>
      </c>
      <c r="C404" s="971" t="s">
        <v>3173</v>
      </c>
      <c r="D404"/>
      <c r="E404"/>
      <c r="F404"/>
      <c r="G404"/>
    </row>
  </sheetData>
  <pageMargins left="0.7" right="0.7" top="0.78740157499999996" bottom="0.78740157499999996" header="0.3" footer="0.3"/>
  <tableParts count="50">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F14E3-3891-4995-8218-779C66696D8B}">
  <sheetPr codeName="TabAssemblyTemplate">
    <tabColor theme="9"/>
    <outlinePr summaryBelow="0" summaryRight="0"/>
  </sheetPr>
  <dimension ref="B1:P24"/>
  <sheetViews>
    <sheetView showGridLines="0" zoomScale="85" zoomScaleNormal="85" workbookViewId="0">
      <selection activeCell="K17" sqref="K17"/>
    </sheetView>
  </sheetViews>
  <sheetFormatPr baseColWidth="10" defaultColWidth="11.5703125" defaultRowHeight="12.75" outlineLevelCol="1"/>
  <cols>
    <col min="1" max="1" width="2.7109375" customWidth="1"/>
    <col min="2" max="2" width="16.85546875" bestFit="1" customWidth="1"/>
    <col min="3" max="3" width="22" style="1" bestFit="1" customWidth="1"/>
    <col min="4" max="4" width="13.85546875" style="1" bestFit="1" customWidth="1"/>
    <col min="5" max="5" width="16.140625" customWidth="1"/>
    <col min="6" max="6" width="25.7109375" style="584" bestFit="1" customWidth="1"/>
    <col min="7" max="7" width="25.7109375" style="1" bestFit="1" customWidth="1"/>
    <col min="8" max="8" width="38" style="584" bestFit="1" customWidth="1"/>
    <col min="9" max="9" width="35.28515625" style="1" bestFit="1" customWidth="1"/>
    <col min="10" max="11" width="11.5703125" style="1" customWidth="1"/>
    <col min="12" max="12" width="11.5703125" customWidth="1"/>
    <col min="13" max="13" width="11.5703125" customWidth="1" collapsed="1"/>
    <col min="14" max="16" width="20.7109375" style="1" hidden="1" customWidth="1" outlineLevel="1"/>
    <col min="17" max="17" width="11.5703125" customWidth="1"/>
  </cols>
  <sheetData>
    <row r="1" spans="2:16" ht="48" customHeight="1">
      <c r="E1" s="1369" t="s">
        <v>3326</v>
      </c>
      <c r="F1" s="1369"/>
      <c r="G1" s="1369"/>
      <c r="H1" s="1369"/>
    </row>
    <row r="2" spans="2:16" ht="13.5" thickBot="1"/>
    <row r="3" spans="2:16" ht="15" customHeight="1">
      <c r="B3" s="1367" t="s">
        <v>3327</v>
      </c>
      <c r="C3" s="1368"/>
      <c r="D3" s="978"/>
      <c r="E3" s="1367" t="s">
        <v>1376</v>
      </c>
      <c r="F3" s="1368"/>
      <c r="H3" s="972"/>
    </row>
    <row r="4" spans="2:16">
      <c r="B4" s="979" t="s">
        <v>2668</v>
      </c>
      <c r="C4" s="980"/>
      <c r="D4" s="978"/>
      <c r="E4" s="979" t="s">
        <v>597</v>
      </c>
      <c r="F4" s="1006" t="str">
        <f>IFERROR(_xlfn.NUMBERVALUE(LEFT(VLOOKUP(C4,BOM,13,0),1)),"")</f>
        <v/>
      </c>
    </row>
    <row r="5" spans="2:16">
      <c r="B5" s="979" t="s">
        <v>78</v>
      </c>
      <c r="C5" s="1005" t="str">
        <f>IFERROR(VLOOKUP(C4,BOM,14,0),"")</f>
        <v/>
      </c>
      <c r="D5" s="978"/>
      <c r="E5" s="979" t="s">
        <v>624</v>
      </c>
      <c r="F5" s="1006" t="str" cm="1">
        <f t="array" ref="F5">IFERROR(INDEX(Premises,18,1+2*MATCH($F$4,Premises_Dropdown,0)),"")</f>
        <v/>
      </c>
    </row>
    <row r="6" spans="2:16">
      <c r="B6" s="979" t="s">
        <v>197</v>
      </c>
      <c r="C6" s="1005" t="str">
        <f>IFERROR(VLOOKUP(C4,BOM,7,0),"")</f>
        <v/>
      </c>
      <c r="D6" s="978"/>
      <c r="E6" s="979" t="s">
        <v>3322</v>
      </c>
      <c r="F6" s="1009" t="str" cm="1">
        <f t="array" ref="F6">IFERROR(INDEX(Premises,13,1+2*MATCH($F$4,Premises_Dropdown,0)),"")</f>
        <v/>
      </c>
    </row>
    <row r="7" spans="2:16">
      <c r="B7" s="979" t="s">
        <v>3315</v>
      </c>
      <c r="C7" s="1006" t="str">
        <f>IFERROR(VLOOKUP(C4,BOM,8,0),"")</f>
        <v/>
      </c>
      <c r="D7" s="978"/>
      <c r="E7" s="979" t="s">
        <v>3323</v>
      </c>
      <c r="F7" s="981" t="str" cm="1">
        <f t="array" ref="F7">IFERROR(INDEX(Premises,79,1+2*MATCH($F$4,Premises_Dropdown,0)),"")</f>
        <v/>
      </c>
    </row>
    <row r="8" spans="2:16" ht="13.5" thickBot="1">
      <c r="B8" s="979" t="s">
        <v>3316</v>
      </c>
      <c r="C8" s="1006" t="str">
        <f>IFERROR(VLOOKUP(C4,BOM,9,0),"")</f>
        <v/>
      </c>
      <c r="D8" s="978"/>
      <c r="E8" s="982" t="s">
        <v>3324</v>
      </c>
      <c r="F8" s="1008" t="str">
        <f>IFERROR(Montage[[#Totals],[Total time
'[s']]]/F7,"")</f>
        <v/>
      </c>
    </row>
    <row r="9" spans="2:16" ht="13.5" thickBot="1">
      <c r="B9" s="979" t="s">
        <v>3317</v>
      </c>
      <c r="C9" s="1006" t="str">
        <f>IFERROR(VLOOKUP(C4,BOM,10,0),"")</f>
        <v/>
      </c>
      <c r="D9" s="978"/>
      <c r="E9" s="983"/>
      <c r="F9" s="984"/>
    </row>
    <row r="10" spans="2:16" ht="13.5" thickBot="1">
      <c r="B10" s="985" t="s">
        <v>3318</v>
      </c>
      <c r="C10" s="1007" t="str">
        <f>IFERROR(VLOOKUP(C4,BOM,16,0),"")</f>
        <v/>
      </c>
      <c r="D10" s="978"/>
      <c r="E10" s="986" t="s">
        <v>3325</v>
      </c>
      <c r="F10" s="1019">
        <f>IFERROR(Montage[[#Totals],[Total time
'[s']]],"")</f>
        <v>0</v>
      </c>
    </row>
    <row r="11" spans="2:16" ht="13.5" thickBot="1"/>
    <row r="12" spans="2:16" s="994" customFormat="1" ht="25.5">
      <c r="B12" s="987" t="s">
        <v>3184</v>
      </c>
      <c r="C12" s="988" t="s">
        <v>3185</v>
      </c>
      <c r="D12" s="989" t="s">
        <v>3186</v>
      </c>
      <c r="E12" s="989" t="s">
        <v>3312</v>
      </c>
      <c r="F12" s="989" t="s">
        <v>3774</v>
      </c>
      <c r="G12" s="990" t="s">
        <v>3319</v>
      </c>
      <c r="H12" s="990" t="s">
        <v>3320</v>
      </c>
      <c r="I12" s="990" t="s">
        <v>3321</v>
      </c>
      <c r="J12" s="989" t="s">
        <v>3191</v>
      </c>
      <c r="K12" s="989" t="s">
        <v>3192</v>
      </c>
      <c r="L12" s="989" t="s">
        <v>3193</v>
      </c>
      <c r="M12" s="991" t="s">
        <v>3194</v>
      </c>
      <c r="N12" s="987" t="s">
        <v>3195</v>
      </c>
      <c r="O12" s="992" t="s">
        <v>3196</v>
      </c>
      <c r="P12" s="993" t="s">
        <v>3197</v>
      </c>
    </row>
    <row r="13" spans="2:16">
      <c r="B13" s="1012">
        <f>ROW(B13)-12</f>
        <v>1</v>
      </c>
      <c r="C13" s="584"/>
      <c r="D13" s="1021" t="str">
        <f>IFERROR(VLOOKUP(Montage[[#This Row],[Sub-Komponente]],BOM,6,FALSE),"")</f>
        <v/>
      </c>
      <c r="E13" s="1023" t="str">
        <f>Montage[[#This Row],[Anzahl
BOM]]</f>
        <v/>
      </c>
      <c r="F13" s="1014" t="str">
        <f>IFERROR(VLOOKUP(Montage[[#This Row],[Sub-Komponente]],BOM,7,0),"")</f>
        <v/>
      </c>
      <c r="G13" s="584"/>
      <c r="I13" s="584"/>
      <c r="J13" s="1010"/>
      <c r="K13" s="1014"/>
      <c r="L13" s="997"/>
      <c r="M13" s="1016" t="str">
        <f>IFERROR(IFERROR(Montage[[#This Row],[Repetitions assembly step]]*IF(ISBLANK(Montage[[#This Row],[Korrigiert
'[s']]]),Montage[[#This Row],[Einzelzeit
'[s']]],Montage[[#This Row],[Korrigiert
'[s']]]),""),"")</f>
        <v/>
      </c>
      <c r="N13" s="995" t="str" cm="1">
        <f t="array" ref="N13">IFERROR(IFERROR(_xlfn.XLOOKUP(Montage[[#This Row],[Basic operation]],IF(Language="DE",Tab_ASY_TableRegister[DE],Tab_ASY_TableRegister[EN]),"Tab_" &amp; Tab_ASY_TableRegister[Name] &amp; IF(Language="DE","[DE]","[EN]")),""),"")</f>
        <v>Tab_[EN]</v>
      </c>
      <c r="O13" s="996" t="str" cm="1">
        <f t="array" ref="O13">IFERROR(IFERROR(IFERROR(_xlfn.XLOOKUP(Montage[[#This Row],[Subcategory 1]],IF(Language="DE",Tab_ASY_TableRegister[DE],Tab_ASY_TableRegister[EN]),"Tab_" &amp; Tab_ASY_TableRegister[Name] &amp; IF(Language="DE","[DE]","[EN]")),""),""),"")</f>
        <v>Tab_[EN]</v>
      </c>
      <c r="P13" s="998" t="str">
        <f>IFERROR(IF(Montage[[#This Row],[Parameter 2]]="",Montage[[#This Row],[Parameter 1]],Montage[[#This Row],[Parameter 2]]),"")</f>
        <v>Tab_[EN]</v>
      </c>
    </row>
    <row r="14" spans="2:16">
      <c r="B14" s="1012">
        <f>ROW(B14)-12</f>
        <v>2</v>
      </c>
      <c r="C14" s="584"/>
      <c r="D14" s="1021" t="str">
        <f>IFERROR(VLOOKUP(Montage[[#This Row],[Sub-Komponente]],BOM,6,FALSE),"")</f>
        <v/>
      </c>
      <c r="E14" s="1023" t="str">
        <f>Montage[[#This Row],[Anzahl
BOM]]</f>
        <v/>
      </c>
      <c r="F14" s="1014" t="str">
        <f>IFERROR(VLOOKUP(Montage[[#This Row],[Sub-Komponente]],BOM,7,0),"")</f>
        <v/>
      </c>
      <c r="G14" s="584"/>
      <c r="I14" s="584"/>
      <c r="J14" s="1010"/>
      <c r="K14" s="1014"/>
      <c r="L14" s="997"/>
      <c r="M14" s="1016" t="str">
        <f>IFERROR(IFERROR(Montage[[#This Row],[Repetitions assembly step]]*IF(ISBLANK(Montage[[#This Row],[Korrigiert
'[s']]]),Montage[[#This Row],[Einzelzeit
'[s']]],Montage[[#This Row],[Korrigiert
'[s']]]),""),"")</f>
        <v/>
      </c>
      <c r="N14" s="995" t="str" cm="1">
        <f t="array" ref="N14">IFERROR(IFERROR(_xlfn.XLOOKUP(Montage[[#This Row],[Basic operation]],IF(Language="DE",Tab_ASY_TableRegister[DE],Tab_ASY_TableRegister[EN]),"Tab_" &amp; Tab_ASY_TableRegister[Name] &amp; IF(Language="DE","[DE]","[EN]")),""),"")</f>
        <v>Tab_[EN]</v>
      </c>
      <c r="O14" s="996" t="str" cm="1">
        <f t="array" ref="O14">IFERROR(IFERROR(IFERROR(_xlfn.XLOOKUP(Montage[[#This Row],[Subcategory 1]],IF(Language="DE",Tab_ASY_TableRegister[DE],Tab_ASY_TableRegister[EN]),"Tab_" &amp; Tab_ASY_TableRegister[Name] &amp; IF(Language="DE","[DE]","[EN]")),""),""),"")</f>
        <v>Tab_[EN]</v>
      </c>
      <c r="P14" s="998" t="str">
        <f>IFERROR(IF(Montage[[#This Row],[Parameter 2]]="",Montage[[#This Row],[Parameter 1]],Montage[[#This Row],[Parameter 2]]),"")</f>
        <v>Tab_[EN]</v>
      </c>
    </row>
    <row r="15" spans="2:16">
      <c r="B15" s="1012">
        <f>ROW(B15)-12</f>
        <v>3</v>
      </c>
      <c r="C15" s="584"/>
      <c r="D15" s="1021" t="str">
        <f>IFERROR(VLOOKUP(Montage[[#This Row],[Sub-Komponente]],BOM,6,FALSE),"")</f>
        <v/>
      </c>
      <c r="E15" s="1023" t="str">
        <f>Montage[[#This Row],[Anzahl
BOM]]</f>
        <v/>
      </c>
      <c r="F15" s="1014" t="str">
        <f>IFERROR(VLOOKUP(Montage[[#This Row],[Sub-Komponente]],BOM,7,0),"")</f>
        <v/>
      </c>
      <c r="G15" s="584"/>
      <c r="I15" s="584"/>
      <c r="J15" s="1010"/>
      <c r="K15" s="1014"/>
      <c r="L15" s="997"/>
      <c r="M15" s="1016" t="str">
        <f>IFERROR(IFERROR(Montage[[#This Row],[Repetitions assembly step]]*IF(ISBLANK(Montage[[#This Row],[Korrigiert
'[s']]]),Montage[[#This Row],[Einzelzeit
'[s']]],Montage[[#This Row],[Korrigiert
'[s']]]),""),"")</f>
        <v/>
      </c>
      <c r="N15" s="995" t="str" cm="1">
        <f t="array" ref="N15">IFERROR(IFERROR(_xlfn.XLOOKUP(Montage[[#This Row],[Basic operation]],IF(Language="DE",Tab_ASY_TableRegister[DE],Tab_ASY_TableRegister[EN]),"Tab_" &amp; Tab_ASY_TableRegister[Name] &amp; IF(Language="DE","[DE]","[EN]")),""),"")</f>
        <v>Tab_[EN]</v>
      </c>
      <c r="O15" s="996" t="str" cm="1">
        <f t="array" ref="O15">IFERROR(IFERROR(IFERROR(_xlfn.XLOOKUP(Montage[[#This Row],[Subcategory 1]],IF(Language="DE",Tab_ASY_TableRegister[DE],Tab_ASY_TableRegister[EN]),"Tab_" &amp; Tab_ASY_TableRegister[Name] &amp; IF(Language="DE","[DE]","[EN]")),""),""),"")</f>
        <v>Tab_[EN]</v>
      </c>
      <c r="P15" s="998" t="str">
        <f>IFERROR(IF(Montage[[#This Row],[Parameter 2]]="",Montage[[#This Row],[Parameter 1]],Montage[[#This Row],[Parameter 2]]),"")</f>
        <v>Tab_[EN]</v>
      </c>
    </row>
    <row r="16" spans="2:16">
      <c r="B16" s="1012">
        <f>ROW(B16)-12</f>
        <v>4</v>
      </c>
      <c r="C16" s="584"/>
      <c r="D16" s="1021" t="str">
        <f>IFERROR(VLOOKUP(Montage[[#This Row],[Sub-Komponente]],BOM,6,FALSE),"")</f>
        <v/>
      </c>
      <c r="E16" s="1023" t="str">
        <f>Montage[[#This Row],[Anzahl
BOM]]</f>
        <v/>
      </c>
      <c r="F16" s="1014" t="str">
        <f>IFERROR(VLOOKUP(Montage[[#This Row],[Sub-Komponente]],BOM,7,0),"")</f>
        <v/>
      </c>
      <c r="G16" s="584"/>
      <c r="I16" s="584"/>
      <c r="J16" s="1010"/>
      <c r="K16" s="1014"/>
      <c r="L16" s="997"/>
      <c r="M16" s="1016" t="str">
        <f>IFERROR(IFERROR(Montage[[#This Row],[Repetitions assembly step]]*IF(ISBLANK(Montage[[#This Row],[Korrigiert
'[s']]]),Montage[[#This Row],[Einzelzeit
'[s']]],Montage[[#This Row],[Korrigiert
'[s']]]),""),"")</f>
        <v/>
      </c>
      <c r="N16" s="995" t="str" cm="1">
        <f t="array" ref="N16">IFERROR(IFERROR(_xlfn.XLOOKUP(Montage[[#This Row],[Basic operation]],IF(Language="DE",Tab_ASY_TableRegister[DE],Tab_ASY_TableRegister[EN]),"Tab_" &amp; Tab_ASY_TableRegister[Name] &amp; IF(Language="DE","[DE]","[EN]")),""),"")</f>
        <v>Tab_[EN]</v>
      </c>
      <c r="O16" s="996" t="str" cm="1">
        <f t="array" ref="O16">IFERROR(IFERROR(IFERROR(_xlfn.XLOOKUP(Montage[[#This Row],[Subcategory 1]],IF(Language="DE",Tab_ASY_TableRegister[DE],Tab_ASY_TableRegister[EN]),"Tab_" &amp; Tab_ASY_TableRegister[Name] &amp; IF(Language="DE","[DE]","[EN]")),""),""),"")</f>
        <v>Tab_[EN]</v>
      </c>
      <c r="P16" s="998" t="str">
        <f>IFERROR(IF(Montage[[#This Row],[Parameter 2]]="",Montage[[#This Row],[Parameter 1]],Montage[[#This Row],[Parameter 2]]),"")</f>
        <v>Tab_[EN]</v>
      </c>
    </row>
    <row r="17" spans="2:16" ht="13.5" thickBot="1">
      <c r="B17" s="1013">
        <f>ROW(B17)-12</f>
        <v>5</v>
      </c>
      <c r="C17" s="999"/>
      <c r="D17" s="1022" t="str">
        <f>IFERROR(VLOOKUP(Montage[[#This Row],[Sub-Komponente]],BOM,6,FALSE),"")</f>
        <v/>
      </c>
      <c r="E17" s="1024" t="str">
        <f>Montage[[#This Row],[Anzahl
BOM]]</f>
        <v/>
      </c>
      <c r="F17" s="1015" t="str">
        <f>IFERROR(VLOOKUP(Montage[[#This Row],[Sub-Komponente]],BOM,7,0),"")</f>
        <v/>
      </c>
      <c r="G17" s="999"/>
      <c r="H17" s="999"/>
      <c r="I17" s="999"/>
      <c r="J17" s="1011"/>
      <c r="K17" s="1015"/>
      <c r="L17" s="1000"/>
      <c r="M17" s="1017" t="str">
        <f>IFERROR(IFERROR(Montage[[#This Row],[Repetitions assembly step]]*IF(ISBLANK(Montage[[#This Row],[Korrigiert
'[s']]]),Montage[[#This Row],[Einzelzeit
'[s']]],Montage[[#This Row],[Korrigiert
'[s']]]),""),"")</f>
        <v/>
      </c>
      <c r="N17" s="995" t="str" cm="1">
        <f t="array" ref="N17">IFERROR(IFERROR(_xlfn.XLOOKUP(Montage[[#This Row],[Basic operation]],IF(Language="DE",Tab_ASY_TableRegister[DE],Tab_ASY_TableRegister[EN]),"Tab_" &amp; Tab_ASY_TableRegister[Name] &amp; IF(Language="DE","[DE]","[EN]")),""),"")</f>
        <v>Tab_[EN]</v>
      </c>
      <c r="O17" s="996" t="str" cm="1">
        <f t="array" ref="O17">IFERROR(IFERROR(IFERROR(_xlfn.XLOOKUP(Montage[[#This Row],[Subcategory 1]],IF(Language="DE",Tab_ASY_TableRegister[DE],Tab_ASY_TableRegister[EN]),"Tab_" &amp; Tab_ASY_TableRegister[Name] &amp; IF(Language="DE","[DE]","[EN]")),""),""),"")</f>
        <v>Tab_[EN]</v>
      </c>
      <c r="P17" s="998" t="str">
        <f>IFERROR(IF(Montage[[#This Row],[Parameter 2]]="",Montage[[#This Row],[Parameter 1]],Montage[[#This Row],[Parameter 2]]),"")</f>
        <v>Tab_[EN]</v>
      </c>
    </row>
    <row r="18" spans="2:16" ht="14.25" thickTop="1" thickBot="1">
      <c r="B18" s="1001" t="s">
        <v>3198</v>
      </c>
      <c r="C18" s="1002"/>
      <c r="D18" s="1003"/>
      <c r="E18" s="1003"/>
      <c r="F18" s="1003"/>
      <c r="G18" s="1002"/>
      <c r="H18" s="1002"/>
      <c r="I18" s="1002"/>
      <c r="J18" s="1003"/>
      <c r="K18" s="1003"/>
      <c r="L18" s="1003"/>
      <c r="M18" s="1018">
        <f>SUBTOTAL(109,Montage[Total time
'[s']])</f>
        <v>0</v>
      </c>
      <c r="N18" s="1001"/>
      <c r="O18" s="1003"/>
      <c r="P18" s="1004"/>
    </row>
    <row r="24" spans="2:16">
      <c r="D24" s="1020"/>
    </row>
  </sheetData>
  <mergeCells count="3">
    <mergeCell ref="B3:C3"/>
    <mergeCell ref="E3:F3"/>
    <mergeCell ref="E1:H1"/>
  </mergeCells>
  <conditionalFormatting sqref="F7">
    <cfRule type="cellIs" dxfId="53" priority="1" operator="lessThan">
      <formula>$M$18</formula>
    </cfRule>
    <cfRule type="cellIs" dxfId="52" priority="2" operator="greaterThan">
      <formula>$M$18</formula>
    </cfRule>
  </conditionalFormatting>
  <dataValidations count="5">
    <dataValidation type="list" allowBlank="1" showInputMessage="1" sqref="C13:C17" xr:uid="{E3B58B5B-FBD4-4004-8663-804648346737}">
      <formula1>BOM_Dropdown</formula1>
    </dataValidation>
    <dataValidation type="list" allowBlank="1" showInputMessage="1" showErrorMessage="1" sqref="C4" xr:uid="{7EA017E8-2C5B-42E2-9CE2-FF6623AE1CC5}">
      <formula1>BOM_Dropdown</formula1>
    </dataValidation>
    <dataValidation type="list" allowBlank="1" showInputMessage="1" sqref="G13:G17" xr:uid="{56628FA3-888B-4109-8FDF-97F6B90E4253}">
      <formula1>IF(Language="DE",ASY_Operations_DE,ASY_Operations_EN)</formula1>
    </dataValidation>
    <dataValidation type="list" allowBlank="1" showInputMessage="1" sqref="H13:H17" xr:uid="{08F0F7FA-B69D-470C-96F9-C1FE3339DD08}">
      <formula1>INDIRECT($N13)</formula1>
    </dataValidation>
    <dataValidation type="list" allowBlank="1" showInputMessage="1" sqref="I13:I17" xr:uid="{01EB7D09-A256-47D0-997F-35E0BDE37F44}">
      <formula1>INDIRECT($O13)</formula1>
    </dataValidation>
  </dataValidations>
  <pageMargins left="0.7" right="0.7" top="0.78740157499999996" bottom="0.78740157499999996"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A17D4-66A4-4534-A4AD-E9FC013934FD}">
  <sheetPr codeName="TabSettings">
    <tabColor theme="9"/>
  </sheetPr>
  <dimension ref="A2:L107"/>
  <sheetViews>
    <sheetView showGridLines="0" topLeftCell="A70" zoomScaleNormal="100" workbookViewId="0">
      <selection activeCell="B2" sqref="B2:AX2"/>
    </sheetView>
  </sheetViews>
  <sheetFormatPr baseColWidth="10" defaultColWidth="11.42578125" defaultRowHeight="12.75"/>
  <cols>
    <col min="1" max="1" width="2.7109375" style="5" customWidth="1"/>
    <col min="2" max="2" width="10.7109375" style="4" customWidth="1"/>
    <col min="3" max="3" width="88.5703125" style="4" bestFit="1" customWidth="1"/>
    <col min="4" max="4" width="20.7109375" style="4" customWidth="1"/>
    <col min="5" max="5" width="49" style="5" bestFit="1" customWidth="1"/>
    <col min="6" max="6" width="10.7109375" style="4" customWidth="1"/>
    <col min="7" max="7" width="2.7109375" style="5" customWidth="1"/>
    <col min="8" max="8" width="11.42578125" style="5"/>
    <col min="9" max="9" width="14.5703125" style="5" bestFit="1" customWidth="1"/>
    <col min="10" max="11" width="11.42578125" style="5"/>
    <col min="12" max="12" width="2.7109375" style="5" customWidth="1"/>
    <col min="13" max="16384" width="11.42578125" style="5"/>
  </cols>
  <sheetData>
    <row r="2" spans="2:11">
      <c r="B2" s="4" t="s">
        <v>148</v>
      </c>
      <c r="C2" s="4" t="s">
        <v>143</v>
      </c>
      <c r="D2" s="4" t="s">
        <v>36</v>
      </c>
      <c r="E2" s="5" t="s">
        <v>37</v>
      </c>
      <c r="F2" s="4" t="s">
        <v>358</v>
      </c>
      <c r="H2" t="s">
        <v>3262</v>
      </c>
      <c r="I2" t="s">
        <v>3263</v>
      </c>
      <c r="J2" t="s">
        <v>2441</v>
      </c>
      <c r="K2" t="s">
        <v>3269</v>
      </c>
    </row>
    <row r="3" spans="2:11">
      <c r="B3" s="444">
        <v>1001</v>
      </c>
      <c r="C3" s="2" t="s">
        <v>54</v>
      </c>
      <c r="D3" s="2"/>
      <c r="E3" s="445" t="s">
        <v>182</v>
      </c>
      <c r="F3" s="2"/>
      <c r="H3" s="971" t="s">
        <v>245</v>
      </c>
      <c r="I3" t="s">
        <v>3270</v>
      </c>
      <c r="J3" s="1043">
        <v>45657</v>
      </c>
      <c r="K3" s="1043" t="s">
        <v>3271</v>
      </c>
    </row>
    <row r="4" spans="2:11">
      <c r="B4" s="444">
        <v>1002</v>
      </c>
      <c r="C4" s="2">
        <v>1</v>
      </c>
      <c r="D4" s="2"/>
      <c r="E4" s="445" t="s">
        <v>249</v>
      </c>
      <c r="F4" s="2"/>
      <c r="H4"/>
      <c r="I4"/>
      <c r="J4" s="1043"/>
      <c r="K4" s="1043"/>
    </row>
    <row r="5" spans="2:11">
      <c r="B5" s="444">
        <v>1003</v>
      </c>
      <c r="C5" s="446" t="s">
        <v>248</v>
      </c>
      <c r="D5" s="2"/>
      <c r="E5" s="445" t="s">
        <v>247</v>
      </c>
      <c r="F5" s="2"/>
      <c r="H5" t="s">
        <v>3262</v>
      </c>
      <c r="I5" t="s">
        <v>3263</v>
      </c>
      <c r="J5" s="1043"/>
      <c r="K5" s="1043"/>
    </row>
    <row r="6" spans="2:11">
      <c r="B6" s="444">
        <v>1004</v>
      </c>
      <c r="C6" s="2" t="str">
        <f>BOM!$D$3</f>
        <v>Apollo High PCB UI</v>
      </c>
      <c r="D6" s="2"/>
      <c r="E6" s="445" t="s">
        <v>201</v>
      </c>
      <c r="F6" s="2"/>
      <c r="H6" s="971" t="s">
        <v>245</v>
      </c>
      <c r="I6" s="971" t="s">
        <v>3927</v>
      </c>
      <c r="J6" s="1043"/>
      <c r="K6" s="1043"/>
    </row>
    <row r="7" spans="2:11">
      <c r="B7" s="444">
        <v>1005</v>
      </c>
      <c r="C7" s="2">
        <v>0</v>
      </c>
      <c r="D7" s="2"/>
      <c r="E7" s="445" t="s">
        <v>662</v>
      </c>
      <c r="F7" s="2"/>
      <c r="H7"/>
      <c r="I7"/>
      <c r="J7" s="1043"/>
      <c r="K7" s="1043"/>
    </row>
    <row r="8" spans="2:11">
      <c r="B8" s="444">
        <v>1007</v>
      </c>
      <c r="C8" s="2">
        <v>1</v>
      </c>
      <c r="D8" s="2"/>
      <c r="E8" s="445" t="s">
        <v>663</v>
      </c>
      <c r="F8" s="2"/>
      <c r="H8"/>
      <c r="I8"/>
      <c r="J8" s="1043"/>
      <c r="K8" s="1043"/>
    </row>
    <row r="9" spans="2:11">
      <c r="B9" s="444">
        <v>1008</v>
      </c>
      <c r="C9" s="2" t="s">
        <v>881</v>
      </c>
      <c r="D9" s="2"/>
      <c r="E9" s="445" t="s">
        <v>1902</v>
      </c>
      <c r="F9" s="2"/>
      <c r="H9"/>
      <c r="I9"/>
      <c r="J9" s="1043"/>
      <c r="K9" s="1043"/>
    </row>
    <row r="10" spans="2:11">
      <c r="B10" s="444">
        <v>1009</v>
      </c>
      <c r="C10" s="2"/>
      <c r="D10" s="2"/>
      <c r="E10" s="445" t="s">
        <v>882</v>
      </c>
      <c r="F10" s="2">
        <v>1</v>
      </c>
      <c r="H10"/>
      <c r="I10"/>
      <c r="J10" s="1043"/>
      <c r="K10" s="1043"/>
    </row>
    <row r="11" spans="2:11">
      <c r="B11" s="444">
        <v>1010</v>
      </c>
      <c r="C11" s="447" t="s">
        <v>894</v>
      </c>
      <c r="D11" s="2"/>
      <c r="E11" s="445" t="s">
        <v>883</v>
      </c>
      <c r="F11" s="2">
        <v>1</v>
      </c>
      <c r="H11"/>
      <c r="I11"/>
      <c r="J11" s="1043"/>
      <c r="K11" s="1043"/>
    </row>
    <row r="12" spans="2:11">
      <c r="B12" s="444">
        <v>1011</v>
      </c>
      <c r="C12" s="2"/>
      <c r="D12" s="2"/>
      <c r="E12" s="445" t="s">
        <v>864</v>
      </c>
      <c r="F12" s="2">
        <v>1</v>
      </c>
      <c r="H12"/>
      <c r="I12"/>
      <c r="J12" s="1043"/>
      <c r="K12" s="1043"/>
    </row>
    <row r="13" spans="2:11">
      <c r="B13" s="444">
        <v>1012</v>
      </c>
      <c r="C13" s="447" t="s">
        <v>894</v>
      </c>
      <c r="D13" s="2"/>
      <c r="E13" s="445" t="s">
        <v>865</v>
      </c>
      <c r="F13" s="2">
        <v>1</v>
      </c>
      <c r="H13"/>
      <c r="I13"/>
      <c r="J13" s="1043"/>
      <c r="K13" s="1043"/>
    </row>
    <row r="14" spans="2:11">
      <c r="B14" s="444">
        <v>1013</v>
      </c>
      <c r="C14" s="2">
        <v>200</v>
      </c>
      <c r="D14" s="2" t="s">
        <v>145</v>
      </c>
      <c r="E14" s="445" t="s">
        <v>2442</v>
      </c>
      <c r="F14" s="2">
        <v>1</v>
      </c>
      <c r="H14" s="34"/>
      <c r="I14" s="34"/>
      <c r="J14" s="4"/>
      <c r="K14" s="4"/>
    </row>
    <row r="15" spans="2:11">
      <c r="B15" s="444"/>
      <c r="C15" s="448"/>
      <c r="D15" s="2"/>
      <c r="E15" s="445"/>
      <c r="F15" s="2"/>
      <c r="J15" s="4"/>
      <c r="K15" s="4"/>
    </row>
    <row r="16" spans="2:11">
      <c r="B16" s="2">
        <v>2000</v>
      </c>
      <c r="C16" s="2" t="s">
        <v>84</v>
      </c>
      <c r="D16" s="2" t="s">
        <v>145</v>
      </c>
      <c r="E16" s="445" t="s">
        <v>531</v>
      </c>
      <c r="F16" s="2"/>
      <c r="J16" s="4"/>
      <c r="K16" s="4"/>
    </row>
    <row r="17" spans="2:9">
      <c r="B17" s="2">
        <v>2001</v>
      </c>
      <c r="C17" s="2">
        <v>0</v>
      </c>
      <c r="D17" s="2" t="s">
        <v>145</v>
      </c>
      <c r="E17" s="445" t="s">
        <v>144</v>
      </c>
      <c r="F17" s="2"/>
      <c r="H17" s="971"/>
      <c r="I17" s="971"/>
    </row>
    <row r="18" spans="2:9">
      <c r="B18" s="2">
        <v>2002</v>
      </c>
      <c r="C18" s="2">
        <v>0</v>
      </c>
      <c r="D18" s="2" t="s">
        <v>145</v>
      </c>
      <c r="E18" s="445" t="s">
        <v>85</v>
      </c>
      <c r="F18" s="2"/>
    </row>
    <row r="19" spans="2:9">
      <c r="B19" s="2">
        <v>2003</v>
      </c>
      <c r="C19" s="2">
        <v>0</v>
      </c>
      <c r="D19" s="2" t="s">
        <v>145</v>
      </c>
      <c r="E19" s="445" t="s">
        <v>86</v>
      </c>
      <c r="F19" s="2"/>
    </row>
    <row r="20" spans="2:9">
      <c r="B20" s="2">
        <v>2004</v>
      </c>
      <c r="C20" s="2">
        <v>0</v>
      </c>
      <c r="D20" s="2" t="s">
        <v>145</v>
      </c>
      <c r="E20" s="445" t="s">
        <v>146</v>
      </c>
      <c r="F20" s="2"/>
    </row>
    <row r="21" spans="2:9">
      <c r="B21" s="2">
        <v>2005</v>
      </c>
      <c r="C21" s="2">
        <v>0</v>
      </c>
      <c r="D21" s="2" t="s">
        <v>145</v>
      </c>
      <c r="E21" s="445" t="s">
        <v>147</v>
      </c>
      <c r="F21" s="2"/>
    </row>
    <row r="22" spans="2:9">
      <c r="B22" s="2">
        <v>2006</v>
      </c>
      <c r="C22" s="2">
        <v>0</v>
      </c>
      <c r="D22" s="2" t="s">
        <v>145</v>
      </c>
      <c r="E22" s="445" t="s">
        <v>758</v>
      </c>
      <c r="F22" s="2"/>
    </row>
    <row r="23" spans="2:9">
      <c r="B23" s="2">
        <v>2007</v>
      </c>
      <c r="C23" s="2">
        <v>1</v>
      </c>
      <c r="D23" s="2" t="s">
        <v>145</v>
      </c>
      <c r="E23" s="445" t="s">
        <v>205</v>
      </c>
      <c r="F23" s="2"/>
    </row>
    <row r="24" spans="2:9">
      <c r="B24" s="2">
        <v>2008</v>
      </c>
      <c r="C24" s="2">
        <v>0</v>
      </c>
      <c r="D24" s="2" t="s">
        <v>145</v>
      </c>
      <c r="E24" s="445" t="s">
        <v>2060</v>
      </c>
      <c r="F24" s="2"/>
    </row>
    <row r="25" spans="2:9">
      <c r="B25" s="2">
        <v>2009</v>
      </c>
      <c r="C25" s="2">
        <v>0</v>
      </c>
      <c r="D25" s="2" t="s">
        <v>145</v>
      </c>
      <c r="E25" s="445" t="s">
        <v>2062</v>
      </c>
      <c r="F25" s="2"/>
    </row>
    <row r="26" spans="2:9">
      <c r="B26" s="2">
        <v>2010</v>
      </c>
      <c r="C26" s="2">
        <v>0</v>
      </c>
      <c r="D26" s="2" t="s">
        <v>145</v>
      </c>
      <c r="E26" s="445" t="s">
        <v>204</v>
      </c>
      <c r="F26" s="2"/>
    </row>
    <row r="27" spans="2:9">
      <c r="B27" s="2">
        <v>2020</v>
      </c>
      <c r="C27" s="215"/>
      <c r="D27" s="2" t="s">
        <v>145</v>
      </c>
      <c r="E27" s="445" t="s">
        <v>527</v>
      </c>
      <c r="F27" s="2"/>
    </row>
    <row r="28" spans="2:9">
      <c r="B28" s="2">
        <v>2030</v>
      </c>
      <c r="C28" s="2" t="s">
        <v>3229</v>
      </c>
      <c r="D28" s="2" t="s">
        <v>145</v>
      </c>
      <c r="E28" s="445" t="s">
        <v>3224</v>
      </c>
      <c r="F28" s="2"/>
    </row>
    <row r="29" spans="2:9">
      <c r="B29" s="2"/>
      <c r="C29" s="215"/>
      <c r="D29" s="2"/>
      <c r="E29" s="445"/>
      <c r="F29" s="2"/>
    </row>
    <row r="30" spans="2:9">
      <c r="B30" s="2">
        <v>2101</v>
      </c>
      <c r="C30" s="2">
        <v>1</v>
      </c>
      <c r="D30" s="2" t="s">
        <v>816</v>
      </c>
      <c r="E30" s="445" t="s">
        <v>2427</v>
      </c>
      <c r="F30" s="2">
        <v>1</v>
      </c>
    </row>
    <row r="31" spans="2:9">
      <c r="B31" s="2">
        <v>2102</v>
      </c>
      <c r="C31" s="2">
        <v>1</v>
      </c>
      <c r="D31" s="2" t="s">
        <v>816</v>
      </c>
      <c r="E31" s="445" t="s">
        <v>2428</v>
      </c>
      <c r="F31" s="2">
        <v>1</v>
      </c>
    </row>
    <row r="32" spans="2:9">
      <c r="B32" s="2"/>
      <c r="C32" s="2"/>
      <c r="D32" s="2"/>
      <c r="E32" s="445"/>
      <c r="F32" s="2"/>
    </row>
    <row r="33" spans="2:6">
      <c r="B33" s="2">
        <v>3001</v>
      </c>
      <c r="C33" s="2" t="s">
        <v>84</v>
      </c>
      <c r="D33" s="2" t="s">
        <v>1376</v>
      </c>
      <c r="E33" s="445" t="s">
        <v>1336</v>
      </c>
      <c r="F33" s="2"/>
    </row>
    <row r="34" spans="2:6">
      <c r="B34" s="2">
        <v>3002</v>
      </c>
      <c r="C34" s="2" t="s">
        <v>84</v>
      </c>
      <c r="D34" s="2" t="s">
        <v>1376</v>
      </c>
      <c r="E34" s="445" t="s">
        <v>1337</v>
      </c>
      <c r="F34" s="2"/>
    </row>
    <row r="35" spans="2:6">
      <c r="B35" s="2">
        <v>3003</v>
      </c>
      <c r="C35" s="2" t="s">
        <v>84</v>
      </c>
      <c r="D35" s="2" t="s">
        <v>1376</v>
      </c>
      <c r="E35" s="445" t="s">
        <v>1348</v>
      </c>
      <c r="F35" s="2"/>
    </row>
    <row r="36" spans="2:6">
      <c r="B36" s="2">
        <v>3004</v>
      </c>
      <c r="C36" s="2" t="s">
        <v>84</v>
      </c>
      <c r="D36" s="2" t="s">
        <v>1376</v>
      </c>
      <c r="E36" s="445" t="s">
        <v>1349</v>
      </c>
      <c r="F36" s="2"/>
    </row>
    <row r="37" spans="2:6">
      <c r="B37" s="2">
        <v>3010</v>
      </c>
      <c r="C37" s="2">
        <v>0</v>
      </c>
      <c r="D37" s="2" t="s">
        <v>1376</v>
      </c>
      <c r="E37" s="445" t="s">
        <v>3265</v>
      </c>
      <c r="F37" s="2"/>
    </row>
    <row r="38" spans="2:6">
      <c r="B38" s="2">
        <v>3011</v>
      </c>
      <c r="C38" s="2">
        <v>0</v>
      </c>
      <c r="D38" s="2" t="s">
        <v>1376</v>
      </c>
      <c r="E38" s="445" t="s">
        <v>1518</v>
      </c>
      <c r="F38" s="2"/>
    </row>
    <row r="39" spans="2:6">
      <c r="B39" s="2">
        <v>3012</v>
      </c>
      <c r="C39" s="2">
        <v>0</v>
      </c>
      <c r="D39" s="2" t="s">
        <v>1376</v>
      </c>
      <c r="E39" s="445" t="s">
        <v>1422</v>
      </c>
      <c r="F39" s="2"/>
    </row>
    <row r="40" spans="2:6">
      <c r="B40" s="2">
        <v>3020</v>
      </c>
      <c r="C40" s="2">
        <v>0</v>
      </c>
      <c r="D40" s="2" t="s">
        <v>1376</v>
      </c>
      <c r="E40" s="445" t="s">
        <v>3266</v>
      </c>
      <c r="F40" s="2"/>
    </row>
    <row r="41" spans="2:6">
      <c r="B41" s="2">
        <v>3030</v>
      </c>
      <c r="C41" s="2">
        <v>0</v>
      </c>
      <c r="D41" s="2" t="s">
        <v>1376</v>
      </c>
      <c r="E41" s="445" t="s">
        <v>3267</v>
      </c>
      <c r="F41" s="2"/>
    </row>
    <row r="42" spans="2:6">
      <c r="B42" s="2">
        <v>3040</v>
      </c>
      <c r="C42" s="2">
        <v>0</v>
      </c>
      <c r="D42" s="2" t="s">
        <v>1376</v>
      </c>
      <c r="E42" s="445" t="s">
        <v>3268</v>
      </c>
      <c r="F42" s="2"/>
    </row>
    <row r="43" spans="2:6">
      <c r="B43" s="2"/>
      <c r="C43" s="2"/>
      <c r="D43" s="2"/>
      <c r="E43" s="445"/>
      <c r="F43" s="2"/>
    </row>
    <row r="44" spans="2:6">
      <c r="B44" s="2">
        <v>4001</v>
      </c>
      <c r="C44" s="2">
        <v>1</v>
      </c>
      <c r="D44" s="2" t="s">
        <v>2373</v>
      </c>
      <c r="E44" s="445" t="s">
        <v>2297</v>
      </c>
      <c r="F44" s="2"/>
    </row>
    <row r="45" spans="2:6">
      <c r="B45" s="2">
        <v>4002</v>
      </c>
      <c r="C45" s="2">
        <v>1</v>
      </c>
      <c r="D45" s="2" t="s">
        <v>2373</v>
      </c>
      <c r="E45" s="445" t="s">
        <v>2301</v>
      </c>
      <c r="F45" s="2"/>
    </row>
    <row r="46" spans="2:6">
      <c r="B46" s="2">
        <v>4003</v>
      </c>
      <c r="C46" s="2">
        <v>1</v>
      </c>
      <c r="D46" s="2" t="s">
        <v>2373</v>
      </c>
      <c r="E46" s="445" t="s">
        <v>2296</v>
      </c>
      <c r="F46" s="2"/>
    </row>
    <row r="47" spans="2:6">
      <c r="B47" s="2">
        <v>4004</v>
      </c>
      <c r="C47" s="2">
        <v>1</v>
      </c>
      <c r="D47" s="2" t="s">
        <v>2373</v>
      </c>
      <c r="E47" s="445" t="s">
        <v>2302</v>
      </c>
      <c r="F47" s="2"/>
    </row>
    <row r="48" spans="2:6">
      <c r="B48" s="2">
        <v>4005</v>
      </c>
      <c r="C48" s="2">
        <v>1</v>
      </c>
      <c r="D48" s="2" t="s">
        <v>2373</v>
      </c>
      <c r="E48" s="445" t="s">
        <v>2303</v>
      </c>
      <c r="F48" s="2"/>
    </row>
    <row r="49" spans="1:6">
      <c r="B49" s="2"/>
      <c r="C49" s="2"/>
      <c r="D49" s="2"/>
      <c r="E49" s="445"/>
      <c r="F49" s="2"/>
    </row>
    <row r="50" spans="1:6">
      <c r="B50" s="2">
        <v>5000</v>
      </c>
      <c r="C50" s="2">
        <v>1</v>
      </c>
      <c r="D50" s="2" t="s">
        <v>3835</v>
      </c>
      <c r="E50" s="445" t="s">
        <v>3876</v>
      </c>
      <c r="F50" s="2"/>
    </row>
    <row r="51" spans="1:6">
      <c r="B51" s="2">
        <v>5001</v>
      </c>
      <c r="C51" s="2" t="s">
        <v>84</v>
      </c>
      <c r="D51" s="2" t="s">
        <v>3835</v>
      </c>
      <c r="E51" s="445" t="s">
        <v>3901</v>
      </c>
      <c r="F51" s="2"/>
    </row>
    <row r="52" spans="1:6">
      <c r="B52" s="2">
        <v>5002</v>
      </c>
      <c r="C52" s="2">
        <v>1</v>
      </c>
      <c r="D52" s="2" t="s">
        <v>3835</v>
      </c>
      <c r="E52" s="445" t="s">
        <v>3899</v>
      </c>
      <c r="F52" s="2"/>
    </row>
    <row r="53" spans="1:6">
      <c r="B53" s="2">
        <v>5003</v>
      </c>
      <c r="C53" s="2">
        <v>1</v>
      </c>
      <c r="D53" s="2" t="s">
        <v>3835</v>
      </c>
      <c r="E53" s="445" t="s">
        <v>3900</v>
      </c>
      <c r="F53" s="2"/>
    </row>
    <row r="54" spans="1:6">
      <c r="B54" s="2"/>
      <c r="C54" s="2"/>
      <c r="D54" s="2"/>
      <c r="E54" s="445"/>
      <c r="F54" s="2"/>
    </row>
    <row r="55" spans="1:6">
      <c r="B55" s="2">
        <v>6001</v>
      </c>
      <c r="C55" s="2" t="s">
        <v>3999</v>
      </c>
      <c r="D55" s="2"/>
      <c r="E55" s="445" t="s">
        <v>802</v>
      </c>
      <c r="F55" s="2"/>
    </row>
    <row r="56" spans="1:6">
      <c r="B56" s="2"/>
      <c r="C56" s="2"/>
      <c r="D56" s="2"/>
      <c r="E56" s="445"/>
      <c r="F56" s="2"/>
    </row>
    <row r="57" spans="1:6">
      <c r="B57" s="2">
        <v>7001</v>
      </c>
      <c r="C57" s="2" t="s">
        <v>250</v>
      </c>
      <c r="D57" s="2"/>
      <c r="E57" s="445" t="s">
        <v>725</v>
      </c>
      <c r="F57" s="2">
        <v>1</v>
      </c>
    </row>
    <row r="58" spans="1:6">
      <c r="B58" s="2">
        <v>7002</v>
      </c>
      <c r="C58" s="2" t="s">
        <v>253</v>
      </c>
      <c r="D58" s="2"/>
      <c r="E58" s="445" t="s">
        <v>726</v>
      </c>
      <c r="F58" s="2">
        <v>1</v>
      </c>
    </row>
    <row r="59" spans="1:6">
      <c r="B59" s="2">
        <v>7003</v>
      </c>
      <c r="C59" s="4" t="s">
        <v>708</v>
      </c>
      <c r="D59" s="2"/>
      <c r="E59" s="445" t="s">
        <v>724</v>
      </c>
      <c r="F59" s="2">
        <v>1</v>
      </c>
    </row>
    <row r="60" spans="1:6">
      <c r="B60" s="2">
        <v>7004</v>
      </c>
      <c r="C60" s="2" t="s">
        <v>252</v>
      </c>
      <c r="D60" s="2"/>
      <c r="E60" s="445" t="s">
        <v>436</v>
      </c>
      <c r="F60" s="2">
        <v>1</v>
      </c>
    </row>
    <row r="61" spans="1:6">
      <c r="A61" s="5" t="s">
        <v>36</v>
      </c>
      <c r="B61" s="2">
        <v>7005</v>
      </c>
      <c r="C61" s="2" t="s">
        <v>528</v>
      </c>
      <c r="D61" s="2"/>
      <c r="E61" s="445" t="s">
        <v>727</v>
      </c>
      <c r="F61" s="2">
        <v>1</v>
      </c>
    </row>
    <row r="62" spans="1:6">
      <c r="B62" s="2">
        <v>7006</v>
      </c>
      <c r="C62" s="4" t="s">
        <v>1236</v>
      </c>
      <c r="D62" s="2"/>
      <c r="E62" s="445" t="s">
        <v>584</v>
      </c>
      <c r="F62" s="2">
        <v>1</v>
      </c>
    </row>
    <row r="63" spans="1:6">
      <c r="B63" s="2">
        <v>7007</v>
      </c>
      <c r="C63" s="2" t="s">
        <v>592</v>
      </c>
      <c r="D63" s="2"/>
      <c r="E63" s="445" t="s">
        <v>704</v>
      </c>
      <c r="F63" s="2">
        <v>1</v>
      </c>
    </row>
    <row r="64" spans="1:6">
      <c r="B64" s="2">
        <v>7008</v>
      </c>
      <c r="C64" s="4" t="s">
        <v>3922</v>
      </c>
      <c r="D64" s="2"/>
      <c r="E64" s="445" t="s">
        <v>3923</v>
      </c>
      <c r="F64" s="2">
        <v>1</v>
      </c>
    </row>
    <row r="65" spans="2:6">
      <c r="B65" s="2">
        <v>7009</v>
      </c>
      <c r="C65" s="4" t="s">
        <v>2482</v>
      </c>
      <c r="D65" s="2"/>
      <c r="E65" s="445" t="s">
        <v>2481</v>
      </c>
      <c r="F65" s="2"/>
    </row>
    <row r="66" spans="2:6">
      <c r="B66" s="2"/>
      <c r="C66" s="2"/>
      <c r="D66" s="2"/>
      <c r="E66" s="445"/>
      <c r="F66" s="2"/>
    </row>
    <row r="67" spans="2:6">
      <c r="B67" s="2">
        <v>7101</v>
      </c>
      <c r="C67" s="2" t="str">
        <f>IF($C$4=1,$C$59,$C$58&amp;"AWS\Projektübersicht.accdb")</f>
        <v>\\wts\02 DATA\01 Orga\97 Projektorganisation\Projektübersicht.accdb</v>
      </c>
      <c r="D67" s="2"/>
      <c r="E67" s="445" t="s">
        <v>724</v>
      </c>
      <c r="F67" s="2"/>
    </row>
    <row r="68" spans="2:6">
      <c r="B68" s="2">
        <v>7102</v>
      </c>
      <c r="C68" s="2" t="str">
        <f>IF($C$4=1,$C$60,$C$58&amp;"AWS\Addins\")</f>
        <v>\\wts\02 DATA\02 WD\01 Kalkulationstools\99 Addins\</v>
      </c>
      <c r="D68" s="2"/>
      <c r="E68" s="445" t="s">
        <v>436</v>
      </c>
      <c r="F68" s="2"/>
    </row>
    <row r="69" spans="2:6">
      <c r="B69" s="2">
        <v>7103</v>
      </c>
      <c r="C69" s="2" t="str">
        <f>IF($C$4=1,$C$63,$C$58&amp;"AWS\SR\")</f>
        <v>\\wts\02 DATA\02 WD\02 Technologien\</v>
      </c>
      <c r="D69" s="2"/>
      <c r="E69" s="445" t="s">
        <v>898</v>
      </c>
      <c r="F69" s="2"/>
    </row>
    <row r="70" spans="2:6">
      <c r="B70" s="2">
        <v>7104</v>
      </c>
      <c r="C70" s="2" t="str">
        <f>IF($C$4=1,$C$64,$C$58&amp;"AWS\MPR\")</f>
        <v>\\wts\02 DATA\02 WD\03 Materialdaten\</v>
      </c>
      <c r="D70" s="2"/>
      <c r="E70" s="445" t="s">
        <v>897</v>
      </c>
      <c r="F70" s="2"/>
    </row>
    <row r="71" spans="2:6">
      <c r="B71" s="2"/>
      <c r="C71" s="2"/>
      <c r="D71" s="2"/>
      <c r="E71" s="445"/>
      <c r="F71" s="2"/>
    </row>
    <row r="72" spans="2:6">
      <c r="B72" s="2">
        <v>8001</v>
      </c>
      <c r="C72" s="2" t="str">
        <f>IF($C$4=1,IF(C84="Default",C78,C84),$C$58&amp;"AWS\MasterData\"&amp;IF(C84="Default","Default",$C$5)&amp;"\")</f>
        <v>\\wts\02 DATA\02 WD\02 Technologien\98 AWS Maschinendatenbank\</v>
      </c>
      <c r="D72" s="2"/>
      <c r="E72" s="445" t="s">
        <v>285</v>
      </c>
      <c r="F72" s="2">
        <v>1</v>
      </c>
    </row>
    <row r="73" spans="2:6">
      <c r="B73" s="2">
        <v>8002</v>
      </c>
      <c r="C73" s="2" t="str">
        <f>IF($C$4=1,IF(C85="Default",C79,C85),$C$58&amp;"AWS\MasterData\"&amp;IF(C85="Default","Default",$C$5)&amp;"\")</f>
        <v>\\wts\02 DATA\02 WD\03 Materialdaten\</v>
      </c>
      <c r="D73" s="2"/>
      <c r="E73" s="445" t="s">
        <v>286</v>
      </c>
      <c r="F73" s="2">
        <v>1</v>
      </c>
    </row>
    <row r="74" spans="2:6">
      <c r="B74" s="2">
        <v>8003</v>
      </c>
      <c r="C74" s="2" t="str">
        <f>IF($C$4=1,IF(C86="Default",C80,C86),$C$58&amp;"AWS\MasterData\"&amp;IF(C86="Default","Default",$C$5)&amp;"\")</f>
        <v>\\wts\02 DATA\02 WD\04 Prämissen\</v>
      </c>
      <c r="D74" s="2"/>
      <c r="E74" s="445" t="s">
        <v>287</v>
      </c>
      <c r="F74" s="2">
        <v>1</v>
      </c>
    </row>
    <row r="75" spans="2:6">
      <c r="B75" s="2">
        <v>8004</v>
      </c>
      <c r="C75" s="2" t="str">
        <f>IF($C$4=1,IF(C87="Default",C81,C87),$C$58&amp;"AWS\MasterData\"&amp;IF(C87="Default","Default",$C$5)&amp;"\")</f>
        <v>\\wts\02 DATA\02 WD\02 Technologien\97 AWS Technologiedatenbank\</v>
      </c>
      <c r="D75" s="2"/>
      <c r="E75" s="445" t="s">
        <v>288</v>
      </c>
      <c r="F75" s="2">
        <v>1</v>
      </c>
    </row>
    <row r="76" spans="2:6">
      <c r="B76" s="1098">
        <v>8005</v>
      </c>
      <c r="C76" s="2" t="str">
        <f>IF($C$4=1,IF(C96="Default",C82,C96),$C$58&amp;"AWS\MasterData\"&amp;IF(C96="Default","Default",$C$5)&amp;"\")</f>
        <v>\\wts\02 DATA\02 WD\01 Kalkulationstools\01 Teilekosten\01 ACT\POT\</v>
      </c>
      <c r="D76" s="1098"/>
      <c r="E76" s="1099" t="s">
        <v>3723</v>
      </c>
      <c r="F76" s="1098">
        <v>1</v>
      </c>
    </row>
    <row r="77" spans="2:6">
      <c r="B77" s="2"/>
      <c r="C77" s="2"/>
      <c r="D77" s="2"/>
      <c r="E77" s="445"/>
      <c r="F77" s="2"/>
    </row>
    <row r="78" spans="2:6">
      <c r="B78" s="2">
        <v>8011</v>
      </c>
      <c r="C78" s="2" t="s">
        <v>246</v>
      </c>
      <c r="D78" s="2"/>
      <c r="E78" s="445" t="s">
        <v>1161</v>
      </c>
      <c r="F78" s="2"/>
    </row>
    <row r="79" spans="2:6">
      <c r="B79" s="2">
        <v>8012</v>
      </c>
      <c r="C79" s="2" t="s">
        <v>3922</v>
      </c>
      <c r="D79" s="2"/>
      <c r="E79" s="445" t="s">
        <v>1162</v>
      </c>
      <c r="F79" s="2"/>
    </row>
    <row r="80" spans="2:6">
      <c r="B80" s="2">
        <v>8013</v>
      </c>
      <c r="C80" s="2" t="s">
        <v>244</v>
      </c>
      <c r="D80" s="2"/>
      <c r="E80" s="445" t="s">
        <v>1163</v>
      </c>
      <c r="F80" s="2"/>
    </row>
    <row r="81" spans="2:6">
      <c r="B81" s="2">
        <v>8014</v>
      </c>
      <c r="C81" s="2" t="s">
        <v>707</v>
      </c>
      <c r="D81" s="2"/>
      <c r="E81" s="445" t="s">
        <v>1164</v>
      </c>
      <c r="F81" s="2"/>
    </row>
    <row r="82" spans="2:6">
      <c r="B82" s="1098">
        <v>8015</v>
      </c>
      <c r="C82" s="1098" t="s">
        <v>3798</v>
      </c>
      <c r="D82" s="1098"/>
      <c r="E82" s="445" t="s">
        <v>3724</v>
      </c>
      <c r="F82" s="1098"/>
    </row>
    <row r="83" spans="2:6">
      <c r="B83" s="2"/>
      <c r="C83" s="2"/>
      <c r="D83" s="2"/>
      <c r="E83" s="445"/>
      <c r="F83" s="2"/>
    </row>
    <row r="84" spans="2:6">
      <c r="B84" s="2">
        <v>8021</v>
      </c>
      <c r="C84" s="2" t="s">
        <v>248</v>
      </c>
      <c r="D84" s="2" t="s">
        <v>254</v>
      </c>
      <c r="E84" s="445" t="s">
        <v>285</v>
      </c>
      <c r="F84" s="2"/>
    </row>
    <row r="85" spans="2:6">
      <c r="B85" s="2">
        <v>8022</v>
      </c>
      <c r="C85" s="2" t="s">
        <v>248</v>
      </c>
      <c r="D85" s="2" t="s">
        <v>254</v>
      </c>
      <c r="E85" s="445" t="s">
        <v>286</v>
      </c>
      <c r="F85" s="2"/>
    </row>
    <row r="86" spans="2:6">
      <c r="B86" s="2">
        <v>8023</v>
      </c>
      <c r="C86" s="2" t="s">
        <v>248</v>
      </c>
      <c r="D86" s="2" t="s">
        <v>254</v>
      </c>
      <c r="E86" s="445" t="s">
        <v>287</v>
      </c>
      <c r="F86" s="2"/>
    </row>
    <row r="87" spans="2:6">
      <c r="B87" s="2">
        <v>8024</v>
      </c>
      <c r="C87" s="2" t="s">
        <v>248</v>
      </c>
      <c r="D87" s="2" t="s">
        <v>254</v>
      </c>
      <c r="E87" s="445" t="s">
        <v>288</v>
      </c>
      <c r="F87" s="2"/>
    </row>
    <row r="88" spans="2:6">
      <c r="B88" s="2">
        <v>8025</v>
      </c>
      <c r="C88" s="2">
        <v>1</v>
      </c>
      <c r="D88" s="2" t="s">
        <v>254</v>
      </c>
      <c r="E88" s="445" t="s">
        <v>289</v>
      </c>
      <c r="F88" s="2"/>
    </row>
    <row r="89" spans="2:6">
      <c r="B89" s="2">
        <v>8026</v>
      </c>
      <c r="C89" s="2">
        <v>1</v>
      </c>
      <c r="D89" s="2" t="s">
        <v>254</v>
      </c>
      <c r="E89" s="445" t="s">
        <v>290</v>
      </c>
      <c r="F89" s="2"/>
    </row>
    <row r="90" spans="2:6">
      <c r="B90" s="2">
        <v>8027</v>
      </c>
      <c r="C90" s="2">
        <v>0</v>
      </c>
      <c r="D90" s="2" t="s">
        <v>254</v>
      </c>
      <c r="E90" s="445" t="s">
        <v>291</v>
      </c>
      <c r="F90" s="2"/>
    </row>
    <row r="91" spans="2:6">
      <c r="B91" s="2">
        <v>8028</v>
      </c>
      <c r="C91" s="2">
        <v>3</v>
      </c>
      <c r="D91" s="2" t="s">
        <v>254</v>
      </c>
      <c r="E91" s="445" t="s">
        <v>292</v>
      </c>
      <c r="F91" s="2"/>
    </row>
    <row r="92" spans="2:6">
      <c r="B92" s="2">
        <v>8029</v>
      </c>
      <c r="C92" s="2">
        <v>0</v>
      </c>
      <c r="D92" s="2" t="s">
        <v>254</v>
      </c>
      <c r="E92" s="445" t="s">
        <v>2013</v>
      </c>
      <c r="F92" s="2"/>
    </row>
    <row r="93" spans="2:6">
      <c r="B93" s="2">
        <v>8030</v>
      </c>
      <c r="C93" s="2">
        <v>0</v>
      </c>
      <c r="D93" s="2" t="s">
        <v>254</v>
      </c>
      <c r="E93" s="445" t="s">
        <v>2251</v>
      </c>
      <c r="F93" s="2"/>
    </row>
    <row r="94" spans="2:6">
      <c r="B94" s="2">
        <v>8031</v>
      </c>
      <c r="C94" s="2">
        <v>0</v>
      </c>
      <c r="D94" s="2" t="s">
        <v>254</v>
      </c>
      <c r="E94" s="445" t="s">
        <v>2271</v>
      </c>
      <c r="F94" s="2"/>
    </row>
    <row r="95" spans="2:6">
      <c r="B95" s="2">
        <v>8032</v>
      </c>
      <c r="C95" s="2">
        <v>0</v>
      </c>
      <c r="D95" s="2" t="s">
        <v>254</v>
      </c>
      <c r="E95" s="445" t="s">
        <v>2272</v>
      </c>
      <c r="F95" s="2"/>
    </row>
    <row r="96" spans="2:6">
      <c r="B96" s="1098">
        <v>8033</v>
      </c>
      <c r="C96" s="1098" t="s">
        <v>248</v>
      </c>
      <c r="D96" s="2" t="s">
        <v>254</v>
      </c>
      <c r="E96" s="445" t="s">
        <v>3723</v>
      </c>
      <c r="F96" s="1098"/>
    </row>
    <row r="97" spans="2:12">
      <c r="B97" s="1098">
        <v>8034</v>
      </c>
      <c r="C97" s="2">
        <v>0</v>
      </c>
      <c r="D97" s="2" t="s">
        <v>254</v>
      </c>
      <c r="E97" s="445" t="s">
        <v>3800</v>
      </c>
      <c r="F97" s="1098"/>
    </row>
    <row r="98" spans="2:12">
      <c r="B98" s="1098">
        <v>8035</v>
      </c>
      <c r="C98" s="2">
        <v>3</v>
      </c>
      <c r="D98" s="2" t="s">
        <v>254</v>
      </c>
      <c r="E98" s="445" t="s">
        <v>3803</v>
      </c>
      <c r="F98" s="1098"/>
      <c r="J98" s="450"/>
      <c r="K98" s="450"/>
      <c r="L98" s="450"/>
    </row>
    <row r="99" spans="2:12" s="450" customFormat="1">
      <c r="B99" s="1098">
        <v>8036</v>
      </c>
      <c r="C99" s="2">
        <v>0</v>
      </c>
      <c r="D99" s="1098"/>
      <c r="E99" s="1099" t="s">
        <v>3817</v>
      </c>
      <c r="F99" s="1098"/>
      <c r="J99" s="5"/>
      <c r="K99" s="5"/>
      <c r="L99" s="5"/>
    </row>
    <row r="100" spans="2:12">
      <c r="B100" s="2"/>
      <c r="C100" s="2"/>
      <c r="D100" s="2"/>
      <c r="E100" s="445"/>
      <c r="F100" s="2"/>
      <c r="J100" s="450"/>
      <c r="K100" s="450"/>
      <c r="L100" s="450"/>
    </row>
    <row r="101" spans="2:12">
      <c r="B101" s="2">
        <v>9001</v>
      </c>
      <c r="C101" s="2" t="str">
        <f>"6.2.3-" &amp; IF(C102&lt;10,"0","") &amp;IF(C102&lt;100,"0","")  &amp;C102</f>
        <v>6.2.3-000</v>
      </c>
      <c r="D101" s="2"/>
      <c r="E101" s="445" t="s">
        <v>178</v>
      </c>
      <c r="F101" s="2"/>
      <c r="H101" s="450"/>
      <c r="I101" s="450"/>
    </row>
    <row r="102" spans="2:12">
      <c r="B102" s="2">
        <v>9002</v>
      </c>
      <c r="C102" s="2">
        <v>0</v>
      </c>
      <c r="D102" s="2"/>
      <c r="E102" s="445" t="s">
        <v>179</v>
      </c>
      <c r="F102" s="2"/>
    </row>
    <row r="103" spans="2:12">
      <c r="B103" s="2">
        <v>9003</v>
      </c>
      <c r="C103" s="2" t="s">
        <v>3926</v>
      </c>
      <c r="D103" s="2"/>
      <c r="E103" s="445" t="s">
        <v>1116</v>
      </c>
      <c r="F103" s="2"/>
    </row>
    <row r="104" spans="2:12">
      <c r="B104" s="2">
        <v>9004</v>
      </c>
      <c r="C104" s="2">
        <v>1</v>
      </c>
      <c r="D104" s="2"/>
      <c r="E104" s="445" t="s">
        <v>1913</v>
      </c>
      <c r="F104" s="2"/>
    </row>
    <row r="105" spans="2:12" ht="25.5">
      <c r="B105" s="6">
        <v>9005</v>
      </c>
      <c r="C105" s="6" t="s">
        <v>4005</v>
      </c>
      <c r="D105" s="6"/>
      <c r="E105" s="449" t="s">
        <v>2484</v>
      </c>
      <c r="F105" s="6"/>
    </row>
    <row r="106" spans="2:12">
      <c r="B106" s="2">
        <v>9010</v>
      </c>
      <c r="C106" s="2">
        <v>0</v>
      </c>
      <c r="D106" s="1031" t="s">
        <v>3235</v>
      </c>
      <c r="E106" s="445" t="s">
        <v>3236</v>
      </c>
      <c r="F106" s="2"/>
    </row>
    <row r="107" spans="2:12">
      <c r="B107" s="1040">
        <v>9020</v>
      </c>
      <c r="C107" s="2" t="s">
        <v>3992</v>
      </c>
      <c r="D107" s="1040"/>
      <c r="E107" s="1041" t="s">
        <v>3264</v>
      </c>
      <c r="F107" s="1040"/>
    </row>
  </sheetData>
  <phoneticPr fontId="114" type="noConversion"/>
  <conditionalFormatting sqref="C32 C1:C5 C17:C24 C26 C15 C107:C1048576 C96:C97 C7:C13 C43:C90 C99:C105">
    <cfRule type="expression" dxfId="19" priority="25">
      <formula>_xlfn.ISFORMULA(C1)</formula>
    </cfRule>
  </conditionalFormatting>
  <conditionalFormatting sqref="C37:C42">
    <cfRule type="expression" dxfId="18" priority="21">
      <formula>_xlfn.ISFORMULA(C37)</formula>
    </cfRule>
  </conditionalFormatting>
  <conditionalFormatting sqref="C92:C95">
    <cfRule type="expression" dxfId="17" priority="19">
      <formula>_xlfn.ISFORMULA(C92)</formula>
    </cfRule>
  </conditionalFormatting>
  <conditionalFormatting sqref="C25">
    <cfRule type="expression" dxfId="16" priority="17">
      <formula>_xlfn.ISFORMULA(C25)</formula>
    </cfRule>
  </conditionalFormatting>
  <conditionalFormatting sqref="C30:C31">
    <cfRule type="expression" dxfId="15" priority="15">
      <formula>_xlfn.ISFORMULA(C30)</formula>
    </cfRule>
  </conditionalFormatting>
  <conditionalFormatting sqref="C28">
    <cfRule type="expression" dxfId="14" priority="9">
      <formula>_xlfn.ISFORMULA(C28)</formula>
    </cfRule>
  </conditionalFormatting>
  <conditionalFormatting sqref="C106">
    <cfRule type="expression" dxfId="13" priority="3">
      <formula>_xlfn.ISFORMULA(C106)</formula>
    </cfRule>
  </conditionalFormatting>
  <hyperlinks>
    <hyperlink ref="C11" r:id="rId1" xr:uid="{EB9C04BA-3BBE-4835-AEC3-8E93B16A880C}"/>
    <hyperlink ref="C13" r:id="rId2" xr:uid="{C1E902B2-A3DC-4E7E-888A-D1FE9BA8EC27}"/>
    <hyperlink ref="C79" r:id="rId3" xr:uid="{4CA45C63-57E9-4A69-A7F2-D30F8DA56E24}"/>
    <hyperlink ref="C64" r:id="rId4" xr:uid="{79CC62A8-83D7-45A9-9F81-6A900F186FEF}"/>
    <hyperlink ref="C103" r:id="rId5" xr:uid="{4599F8FB-415D-4127-ABCF-5C07C92595D5}"/>
  </hyperlinks>
  <pageMargins left="0.7" right="0.7" top="0.78740157499999996" bottom="0.78740157499999996" header="0.3" footer="0.3"/>
  <pageSetup paperSize="9" orientation="portrait" r:id="rId6"/>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iconSet" priority="20" id="{A9799D79-7298-4924-B2CC-A1D0AD0AC77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C92:C96</xm:sqref>
        </x14:conditionalFormatting>
        <x14:conditionalFormatting xmlns:xm="http://schemas.microsoft.com/office/excel/2006/main">
          <x14:cfRule type="iconSet" priority="18" id="{B1210BB8-F7AF-42A5-BE06-BEC47CC023B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C25</xm:sqref>
        </x14:conditionalFormatting>
        <x14:conditionalFormatting xmlns:xm="http://schemas.microsoft.com/office/excel/2006/main">
          <x14:cfRule type="iconSet" priority="1572" id="{7F851053-2D84-40CA-B412-C53016C2DB42}">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C37:C42</xm:sqref>
        </x14:conditionalFormatting>
        <x14:conditionalFormatting xmlns:xm="http://schemas.microsoft.com/office/excel/2006/main">
          <x14:cfRule type="iconSet" priority="16" id="{B3A61410-40E4-48B6-8F2B-4ED25425357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C30:C31</xm:sqref>
        </x14:conditionalFormatting>
        <x14:conditionalFormatting xmlns:xm="http://schemas.microsoft.com/office/excel/2006/main">
          <x14:cfRule type="iconSet" priority="10" id="{45A6F960-A03E-49D1-B2BC-26C165D236EC}">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C28</xm:sqref>
        </x14:conditionalFormatting>
        <x14:conditionalFormatting xmlns:xm="http://schemas.microsoft.com/office/excel/2006/main">
          <x14:cfRule type="iconSet" priority="8" id="{D831FBCE-5A5B-460F-AA05-08F18F7E807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F106</xm:sqref>
        </x14:conditionalFormatting>
        <x14:conditionalFormatting xmlns:xm="http://schemas.microsoft.com/office/excel/2006/main">
          <x14:cfRule type="iconSet" priority="4" id="{17428E48-FEEF-48F6-A88B-48C898A1760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C106</xm:sqref>
        </x14:conditionalFormatting>
        <x14:conditionalFormatting xmlns:xm="http://schemas.microsoft.com/office/excel/2006/main">
          <x14:cfRule type="iconSet" priority="1683" id="{3803A80A-4481-4451-ADBB-5AC6B4771ED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C103:C105</xm:sqref>
        </x14:conditionalFormatting>
        <x14:conditionalFormatting xmlns:xm="http://schemas.microsoft.com/office/excel/2006/main">
          <x14:cfRule type="iconSet" priority="1684" id="{7E5E1007-3DD5-4F5A-B220-9785D35CDE9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F107 C17:C24 C26 C3:C5 F3:F48 C32 C7:C13 C15 C43:C48 C97 C99:C101 F54:F105 C54:C90</xm:sqref>
        </x14:conditionalFormatting>
        <x14:conditionalFormatting xmlns:xm="http://schemas.microsoft.com/office/excel/2006/main">
          <x14:cfRule type="iconSet" priority="7373" id="{2722DC13-3257-4D04-921A-0CA2BD7F082A}">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F49:F53 C49:C53</xm:sqref>
        </x14:conditionalFormatting>
      </x14:conditionalFormattings>
    </ext>
  </extLst>
</worksheet>
</file>

<file path=customUI/_rels/customUi14.xml.rels><?xml version="1.0" encoding="UTF-8" standalone="yes"?>
<Relationships xmlns="http://schemas.openxmlformats.org/package/2006/relationships"><Relationship Id="loc.png" Type="http://schemas.openxmlformats.org/officeDocument/2006/relationships/image" Target="images/loc.png"/><Relationship Id="pcb.png" Type="http://schemas.openxmlformats.org/officeDocument/2006/relationships/image" Target="images/pcb.png"/><Relationship Id="act.png" Type="http://schemas.openxmlformats.org/officeDocument/2006/relationships/image" Target="images/act.png"/><Relationship Id="tooling.png" Type="http://schemas.openxmlformats.org/officeDocument/2006/relationships/image" Target="images/tooling.png"/><Relationship Id="co2.png" Type="http://schemas.openxmlformats.org/officeDocument/2006/relationships/image" Target="images/co2.png"/><Relationship Id="overhead.png" Type="http://schemas.openxmlformats.org/officeDocument/2006/relationships/image" Target="images/overhead.png"/><Relationship Id="de.png" Type="http://schemas.openxmlformats.org/officeDocument/2006/relationships/image" Target="images/de.png"/><Relationship Id="overheadRefresh.png" Type="http://schemas.openxmlformats.org/officeDocument/2006/relationships/image" Target="images/overheadRefresh.png"/><Relationship Id="tec.png" Type="http://schemas.openxmlformats.org/officeDocument/2006/relationships/image" Target="images/tec.png"/><Relationship Id="pot.png" Type="http://schemas.openxmlformats.org/officeDocument/2006/relationships/image" Target="images/pot.png"/><Relationship Id="mhr.png" Type="http://schemas.openxmlformats.org/officeDocument/2006/relationships/image" Target="images/mhr.png"/><Relationship Id="ednt.png" Type="http://schemas.openxmlformats.org/officeDocument/2006/relationships/image" Target="images/ednt.png"/><Relationship Id="en.png" Type="http://schemas.openxmlformats.org/officeDocument/2006/relationships/image" Target="images/en.png"/><Relationship Id="mat.png" Type="http://schemas.openxmlformats.org/officeDocument/2006/relationships/image" Target="images/mat.png"/><Relationship Id="log.png" Type="http://schemas.openxmlformats.org/officeDocument/2006/relationships/image" Target="images/log.png"/></Relationships>
</file>

<file path=customUI/customUi14.xml><?xml version="1.0" encoding="utf-8"?>
<customUI xmlns="http://schemas.microsoft.com/office/2009/07/customui" onLoad="OnRibbonLoad">
  <commands>
    <command idMso="Help" enabled="true"/>
    <command idMso="WindowClose" enabled="false"/>
    <command idMso="WindowRestore" enabled="false"/>
    <command idMso="WindowMinimize" enabled="false"/>
  </commands>
  <ribbon startFromScratch="false">
    <tabs>
      <tab id="Tab0" label="ACT" getVisible="GetVisible" insertBeforeMso="TabHome">
        <!-- 00 Settings -->
        <group id="grp00" autoScale="true" centerVertically="true" getLabel="GetLabel" tag="Settings" getVisible="GetVisible">
          <!-- Sprache -->
          <menu id="mnuEN" size="large" itemSize="large" image="en.png" label="English" tag="language" getVisible="GetVisible" getEnabled="GetEnabled">
            <button id="btnENEN" label="English" image="en.png" tag="language" enabled="false"/>
            <button id="btnENDE" label="Deutsch" image="de.png" tag="language" onAction="OnActionButton" getVisible="GetVisible" getEnabled="GetEnabled"/>
          </menu>
          <menu id="mnuDE" size="large" itemSize="large" image="de.png" label="Deutsch" tag="language" getVisible="GetVisible" getEnabled="GetEnabled">
            <button id="btnDEEN" label="English" image="en.png" tag="language" onAction="OnActionButton" getVisible="GetVisible" getEnabled="GetEnabled"/>
            <button id="btnDEDE" label="Deutsch" image="de.png" tag="language" enabled="false"/>
          </menu>
          <!-- Online/Offline -->
          <menu id="mnuON" size="large" itemSize="normal" getLabel="GetLabel" getScreentip="GetScreentip" getSupertip="GetSupertip" imageMso="WorkOffline" tag="Online/Offline" getVisible="GetVisible" getEnabled="GetEnabled">
            <button id="btnONON" getLabel="GetLabel" getScreentip="GetScreentip" getSupertip="GetSupertip" imageMso="WorkOffline" tag="Online/Offline" enabled="false"/>
            <button id="btnONOF" getLabel="GetLabel" getScreentip="GetScreentip" getSupertip="GetSupertip" imageMso="ToggleOnline" tag="Online/Offline" onAction="OnActionButton" getVisible="GetVisible" getEnabled="GetEnabled"/>
          </menu>
          <menu id="mnuOF" size="large" itemSize="normal" getLabel="GetLabel" getScreentip="GetScreentip" getSupertip="GetSupertip" imageMso="ToggleOnline" tag="Online/Offline" getVisible="GetVisible" getEnabled="GetEnabled">
            <button id="btnOFON" getLabel="GetLabel" getScreentip="GetScreentip" getSupertip="GetSupertip" imageMso="WorkOffline" tag="Online/Offline" onAction="OnActionButton" getVisible="GetVisible" getEnabled="GetEnabled"/>
            <button id="btnOFOF" getLabel="GetLabel" getScreentip="GetScreentip" getSupertip="GetSupertip" imageMso="ToggleOnline" tag="Online/Offline" enabled="false"/>
          </menu>
          <separator id="spr0000" getVisible="GetVisible"/>
          <!-- Projekt -->
          <button id="btn000" size="normal" getLabel="GetLabel" getScreentip="GetScreentip" getSupertip="GetSupertip" imageMso="EnterpriseProjectImport" onAction="OnActionButton" getVisible="GetVisible" getEnabled="GetEnabled"/>
          <!-- Addins -->
          <menu id="mnuAddins" size="normal" itemSize="normal" getLabel="GetLabel" getScreentip="GetScreentip" getSupertip="GetSupertip" imageMso="CreateClassModule" tag="addins" getVisible="GetVisible" getEnabled="GetEnabled">
            <!-- Addins -temporär- -->
            <checkBox id="cbxAddinX" getLabel="GetLabel" getScreentip="GetScreentip" getSupertip="GetSupertip" onAction="OnActionCheckbox" getPressed="GetPressedCheckbox" tag="addins" getVisible="GetVisible" getEnabled="GetEnabled"/>
            <checkBox id="cbxAddinQ" getLabel="GetLabel" getScreentip="GetScreentip" getSupertip="GetSupertip" onAction="OnActionCheckbox" getPressed="GetPressedCheckbox" tag="addins" getVisible="GetVisible" getEnabled="GetEnabled"/>
            <checkBox id="cbxAddinP" getLabel="GetLabel" getScreentip="GetScreentip" getSupertip="GetSupertip" onAction="OnActionCheckbox" getPressed="GetPressedCheckbox" tag="addins" getVisible="GetVisible" getEnabled="GetEnabled"/>
            <!-- Module -dauerhaft- -->
            <menuSeparator id="sepAddins"/>
            <menu id="mnuModules" itemSize="normal" getLabel="GetLabel" getScreentip="GetScreentip" getSupertip="GetSupertip" tag="addins" getVisible="GetVisible" getEnabled="GetEnabled">
              <menu id="mnuQModules" itemSize="normal" getLabel="GetLabel" getScreentip="GetScreentip" getSupertip="GetSupertip" tag="addins" getVisible="GetVisible" getEnabled="GetEnabled">
                <checkBox id="cbxModuleTooling" getLabel="GetLabel" getScreentip="GetScreentip" getSupertip="GetSupertip" onAction="OnActionCheckbox" getPressed="GetPressedCheckbox" tag="addins" getVisible="GetVisible" getEnabled="GetEnabled"/>
                <checkBox id="cbxModuleEDnT" getLabel="GetLabel" getScreentip="GetScreentip" getSupertip="GetSupertip" onAction="OnActionCheckbox" getPressed="GetPressedCheckbox" tag="addins" getVisible="GetVisible" getEnabled="GetEnabled"/>
              </menu>
              <menuSeparator id="sepModules"/>
              <checkBox id="cbxModuleCO2" getLabel="GetLabel" getScreentip="GetScreentip" getSupertip="GetSupertip" onAction="OnActionCheckbox" getPressed="GetPressedCheckbox" tag="addins" getVisible="GetVisible" getEnabled="GetEnabled"/>
              <checkBox id="cbxModuleLog" getLabel="GetLabel" getScreentip="GetScreentip" getSupertip="GetSupertip" onAction="OnActionCheckbox" getPressed="GetPressedCheckbox" tag="addins" getVisible="GetVisible" getEnabled="GetEnabled"/>
            </menu>
          </menu>
          <!-- Sheets Visibility -->
          <button id="btnSheetsVisibility" size="normal" getLabel="GetLabel" getScreentip="GetScreentip" getSupertip="GetSupertip" imageMso="VisibilityVisible" onAction="OnActionButton" getVisible="GetVisible" getEnabled="GetEnabled"/>
        </group>
        <!-- 01 BOM -->
        <group id="grp01" autoScale="true" centerVertically="true" getLabel="GetLabel" getVisible="GetVisible" tag="BOM">
          <!-- Sync -->
          <splitButton id="sbtSyc" getVisible="GetVisible" getEnabled="GetEnabled" size="large">
            <button id="btnSyc" imageMso="SmartArtRightToLeft" getLabel="GetLabel" getScreentip="GetScreentip" getSupertip="GetSupertip" tag="Advanced" onAction="OnActionButton"/>
            <menu id="mnuSyc" itemSize="normal" tag="Advanced">
              <button id="btnSycAlt" getLabel="GetLabel" getScreentip="GetScreentip" getSupertip="GetSupertip" imageMso="SmartArtRightToLeft" tag="Advanced" onAction="OnActionButton" getVisible="GetVisible" getEnabled="GetEnabled"/>
              <menuSeparator id="sepSyc"/>
              <toggleButton id="tgbSycAutoSyc" getLabel="GetLabel" getScreentip="GetScreentip" getSupertip="GetSupertip" tag="Advanced" onAction="OnActionTglButton" getPressed="GetPressedTglButton" getVisible="GetVisible" getEnabled="GetEnabled"/>
              <toggleButton id="tgbSycAutoBcp" getLabel="GetLabel" getScreentip="GetScreentip" getSupertip="GetSupertip" tag="Advanced" onAction="OnActionTglButton" getPressed="GetPressedTglButton" getVisible="GetVisible" getEnabled="GetEnabled"/>
            </menu>
          </splitButton>
          <separator id="sprSyc" getVisible="GetVisible"/>
          <!-- Num -->
          <splitButton id="sbtNum" getVisible="GetVisible" getEnabled="GetEnabled" size="large">
            <button id="btnNum" imageMso="OrganizationChartLayoutRightHanging" getLabel="GetLabel" getScreentip="GetScreentip" getSupertip="GetSupertip" tag="Num" onAction="OnActionButton"/>
            <menu id="mnuNum" itemSize="normal" tag="Num">
              <button id="btnNumAlt" getLabel="GetLabel" getScreentip="GetScreentip" getSupertip="GetSupertip" imageMso="OrganizationChartLayoutRightHanging" tag="Num" onAction="OnActionButton" getVisible="GetVisible" getEnabled="GetEnabled"/>
              <button id="btnRepaint" getLabel="GetLabel" getScreentip="GetScreentip" getSupertip="GetSupertip" imageMso="ControlLineColorPicker" tag="Num" onAction="OnActionButton" getVisible="GetVisible" getEnabled="GetEnabled"/>
            </menu>
          </splitButton>
          <!-- Pic -->
          <splitButton id="sbtPic" size="large" getVisible="GetVisible" getEnabled="GetEnabled">
            <button id="btnPic" imageMso="PhotoAlbumInsert" getLabel="GetLabel" getScreentip="GetScreentip" getSupertip="GetSupertip" tag="Num" onAction="OnActionButton"/>
            <menu id="mnuPic" itemSize="normal" tag="Pic">
              <toggleButton id="tgbPic" getLabel="GetLabel" getScreentip="GetScreentip" getSupertip="GetSupertip" imageMso="XDInsertPictureControl" tag="Help" onAction="OnActionTglButton" getPressed="GetPressedTglButton" getVisible="GetVisible" getEnabled="GetEnabled"/>
              <menuSeparator id="sepPic1"/>
              <button id="btnPic1" getLabel="GetLabel" getScreentip="GetScreentip" getSupertip="GetSupertip" imageMso="PhotoAlbumInsert" tag="Pic" onAction="OnActionButton" getVisible="GetVisible" getEnabled="GetEnabled"/>
              <button id="btnPic2" getLabel="GetLabel" getScreentip="GetScreentip" getSupertip="GetSupertip" imageMso="ArrangeByFolder" tag="Pic" onAction="OnActionButton" getVisible="GetVisible" getEnabled="GetEnabled"/>
              <button id="btnPicMoveToSubfolder" getLabel="GetLabel" getScreentip="GetScreentip" getSupertip="GetSupertip" imageMso="CopyToFolder" tag="Pic" onAction="OnActionButton" getVisible="GetVisible" getEnabled="GetEnabled"/>
              <menuSeparator id="sepPic2"/>
              <button id="btnPic3" getLabel="GetLabel" getScreentip="GetScreentip" getSupertip="GetSupertip" imageMso="ChangeFolderDownloadSettings" tag="Pic" onAction="OnActionButton" getVisible="GetVisible" getEnabled="GetEnabled"/>
              <button id="btnPic4" getLabel="GetLabel" getScreentip="GetScreentip" getSupertip="GetSupertip" imageMso="AdpDiagramDeleteTable" tag="Pic" onAction="OnActionButton" getVisible="GetVisible" getEnabled="GetEnabled"/>
            </menu>
          </splitButton>
        </group>
        <!-- 98 P-Sheets -->
        <group id="grp98" autoScale="true" centerVertically="true" getLabel="GetLabel" getVisible="GetVisible" tag="pSheet">
          <!-- Pic -->
          <splitButton id="sbtPicP" size="large" getVisible="GetVisible" getEnabled="GetEnabled">
            <button id="btnPicP" imageMso="PhotoAlbumInsert" getLabel="GetLabel" getScreentip="GetScreentip" getSupertip="GetSupertip" tag="Num" onAction="OnActionButton"/>
            <menu id="mnuPicP" itemSize="normal" tag="Pic">
              <toggleButton id="tgbPicP" getLabel="GetLabel" getScreentip="GetScreentip" getSupertip="GetSupertip" imageMso="XDInsertPictureControl" tag="Help" onAction="OnActionTglButton" getPressed="GetPressedTglButton" getVisible="GetVisible" getEnabled="GetEnabled"/>
              <menuSeparator id="sepPicP"/>
              <button id="btnPic1P" getLabel="GetLabel" getScreentip="GetScreentip" getSupertip="GetSupertip" imageMso="PhotoAlbumInsert" tag="Pic" onAction="OnActionButton" getVisible="GetVisible" getEnabled="GetEnabled"/>
              <button id="btnPic2P" getLabel="GetLabel" getScreentip="GetScreentip" getSupertip="GetSupertip" imageMso="ArrangeByFolder" tag="Pic" onAction="OnActionButton" getVisible="GetVisible" getEnabled="GetEnabled"/>
              <button id="btnPic3P" getLabel="GetLabel" getScreentip="GetScreentip" getSupertip="GetSupertip" imageMso="ChangeFolderDownloadSettings" tag="Pic" onAction="OnActionButton" getVisible="GetVisible" getEnabled="GetEnabled"/>
            </menu>
          </splitButton>
        </group>
        <!-- 02 Calculation -->
        <group id="grp02" autoScale="true" centerVertically="true" getLabel="GetLabel" getVisible="GetVisible" tag="Calc">
          <!-- Update if needed by performance module -->
          <button id="btnCalcUpdate" size="large" getLabel="GetLabel" getScreentip="GetScreentip" getSupertip="GetSupertip" imageMso="UpdateInteractiveIndex" tag="Performance" onAction="OnActionButton" getVisible="GetVisible" getEnabled="GetEnabled"/>
          <separator id="sprCalcUpdate" getVisible="GetVisible"/>
          <!-- Sync -->
          <splitButton id="sbtSycCalc" getVisible="GetVisible" getEnabled="GetEnabled" size="large">
            <button id="btnSycCalc" imageMso="SmartArtRightToLeft" getLabel="GetLabel" getScreentip="GetScreentip" getSupertip="GetSupertip" tag="Advanced" onAction="OnActionButton"/>
            <menu id="mnuSycCalc" itemSize="normal" tag="Advanced">
              <button id="btnSycAltCalc" getLabel="GetLabel" getScreentip="GetScreentip" getSupertip="GetSupertip" imageMso="SmartArtRightToLeft" tag="Advanced" onAction="OnActionButton" getVisible="GetVisible" getEnabled="GetEnabled"/>
              <menuSeparator id="sepSycCalc"/>
              <toggleButton id="tgbSycAutoSycCalc" getLabel="GetLabel" getScreentip="GetScreentip" getSupertip="GetSupertip" tag="Advanced" onAction="OnActionTglButton" getPressed="GetPressedTglButton" getVisible="GetVisible" getEnabled="GetEnabled"/>
              <toggleButton id="tgbSycAutoBcpCalc" getLabel="GetLabel" getScreentip="GetScreentip" getSupertip="GetSupertip" tag="Advanced" onAction="OnActionTglButton" getPressed="GetPressedTglButton" getVisible="GetVisible" getEnabled="GetEnabled"/>
            </menu>
          </splitButton>
          <separator id="sprSycCalc" getVisible="GetVisible"/>
          <!-- Analysis -->
          <splitButton id="sbtAna" size="large" getVisible="GetVisible" getEnabled="GetEnabled">
            <button id="btnAna" getLabel="GetLabel" getScreentip="GetScreentip" getSupertip="GetSupertip" imageMso="ChartTypeWaterfallInsertChartGallery" tag="Calc" onAction="OnActionButton"/>
            <menu id="mnuAna" itemSize="normal" tag="Calc">
              <button id="btnAnaAlt" getLabel="GetLabel" getScreentip="GetScreentip" getSupertip="GetSupertip" imageMso="ChartTypeWaterfallInsertChartGallery" tag="Calc" onAction="OnActionButton"/>
              <menuSeparator id="sepAna"/>
              <toggleButton id="tgbInf" getLabel="GetLabel" getScreentip="GetScreentip" getSupertip="GetSupertip" imageMso="MenuToDoBar" tag="Info" onAction="OnActionTglButton" getPressed="GetPressedTglButton" getVisible="GetVisible" getEnabled="GetEnabled"/>
            </menu>
          </splitButton>
          <!-- 			<separator id="spr0203" /> -->
          <!-- Pic -->
          <splitButton id="sbtPicC" size="large" getVisible="GetVisible" getEnabled="GetEnabled">
            <button id="btnPicC" imageMso="PhotoAlbumInsert" getLabel="GetLabel" getScreentip="GetScreentip" getSupertip="GetSupertip" tag="Num" onAction="OnActionButton"/>
            <menu id="mnuPicC" itemSize="normal" tag="Pic">
              <toggleButton id="tgbPicC" getLabel="GetLabel" getScreentip="GetScreentip" getSupertip="GetSupertip" imageMso="XDInsertPictureControl" tag="Help" onAction="OnActionTglButton" getPressed="GetPressedTglButton" getVisible="GetVisible" getEnabled="GetEnabled"/>
              <menuSeparator id="sepPicC"/>
              <button id="btnPicCOpenFolder" getLabel="GetLabel" getScreentip="GetScreentip" getSupertip="GetSupertip" imageMso="PhotoAlbumInsert" tag="Pic" onAction="OnActionButton" getVisible="GetVisible" getEnabled="GetEnabled"/>
            </menu>
          </splitButton>
          <separator id="spr0201"/>
          <!-- Add Row and Add Block -->
          <buttonGroup id="gbt1" getVisible="GetVisible">
            <button id="btn10" getScreentip="GetScreentip" getSupertip="GetSupertip" imageMso="SmartArtAddShapeAbove" tag="Calculation" onAction="OnActionButton" getVisible="GetVisible" getEnabled="GetEnabled"/>
            <button id="btn11" getScreentip="GetScreentip" getSupertip="GetSupertip" imageMso="SmartArtAddAssistant" tag="Calculation" onAction="OnActionButton" getVisible="GetVisible" getEnabled="GetEnabled"/>
          </buttonGroup>
          <!-- Ansichten -->
          <splitButton id="sbt00" size="normal">
            <button id="btn_sbt00" imageMso="ControlMarginsNarrow" getLabel="GetLabel" getScreentip="GetScreentip" getSupertip="GetSupertip" tag="Calculation" onAction="OnActionButton"/>
            <menu id="mnu_sbt00" itemSize="normal" tag="Calculation" getVisible="GetVisible" getEnabled="GetEnabled">
              <button id="btnViewA" getLabel="GetLabel" getScreentip="GetScreentip" getSupertip="GetSupertip" tag="Calculation" onAction="OnActionButton" getVisible="GetVisible" getEnabled="GetEnabled"/>
              <button id="btnViewB" getLabel="GetLabel" getScreentip="GetScreentip" getSupertip="GetSupertip" tag="Calculation" onAction="OnActionButton" getVisible="GetVisible" getEnabled="GetEnabled"/>
              <button id="btnViewC" getLabel="GetLabel" getScreentip="GetScreentip" getSupertip="GetSupertip" tag="Calculation" onAction="OnActionButton" getVisible="GetVisible" getEnabled="GetEnabled"/>
              <button id="btnViewD" getLabel="GetLabel" getScreentip="GetScreentip" getSupertip="GetSupertip" tag="Calculation" onAction="OnActionButton" getVisible="GetVisible" getEnabled="GetEnabled"/>
              <menuSeparator id="sep00"/>
              <button id="btnViewEdit" getLabel="GetLabel" getScreentip="GetScreentip" getSupertip="GetSupertip" imageMso="CurrentViewSettings" tag="Calculation" onAction="OnActionButton" getVisible="GetVisible" getEnabled="GetEnabled"/>
            </menu>
          </splitButton>
          <!-- Spalten -->
          <menu id="mnuCol" size="normal" itemSize="normal" getLabel="GetLabel" getScreentip="GetScreentip" getSupertip="GetSupertip" imageMso="ColumnActionsColumnSettings" tag="Calculation" getVisible="GetVisible" getEnabled="GetEnabled">
            <toggleButton id="tgbcbCol1" getLabel="GetLabel" getScreentip="GetScreentip" getSupertip="GetSupertip" tag="Calculation" onAction="OnActionTglButton" getPressed="GetPressedTglButton" getVisible="GetVisible" getEnabled="GetEnabled"/>
            <toggleButton id="tgbcbCol2" getLabel="GetLabel" getScreentip="GetScreentip" getSupertip="GetSupertip" tag="Calculation" onAction="OnActionTglButton" getPressed="GetPressedTglButton" getVisible="GetVisible" getEnabled="GetEnabled"/>
            <toggleButton id="tgbcbCol3" getLabel="GetLabel" getScreentip="GetScreentip" getSupertip="GetSupertip" tag="Calculation" onAction="OnActionTglButton" getPressed="GetPressedTglButton" getVisible="GetVisible" getEnabled="GetEnabled"/>
            <toggleButton id="tgbcbCol4" getLabel="GetLabel" getScreentip="GetScreentip" getSupertip="GetSupertip" tag="Calculation" onAction="OnActionTglButton" getPressed="GetPressedTglButton" getVisible="GetVisible" getEnabled="GetEnabled"/>
            <toggleButton id="tgbcbCol5" getLabel="GetLabel" getScreentip="GetScreentip" getSupertip="GetSupertip" tag="Calculation" onAction="OnActionTglButton" getPressed="GetPressedTglButton" getVisible="GetVisible" getEnabled="GetEnabled"/>
            <toggleButton id="tgbcbCol6" getLabel="GetLabel" getScreentip="GetScreentip" getSupertip="GetSupertip" tag="Calculation" onAction="OnActionTglButton" getPressed="GetPressedTglButton" getVisible="GetVisible" getEnabled="GetEnabled"/>
            <menuSeparator id="sepCol1"/>
            <toggleButton id="tgbcbCol7" getLabel="GetLabel" getScreentip="GetScreentip" getSupertip="GetSupertip" tag="Calculation" onAction="OnActionTglButton" getPressed="GetPressedTglButton" getVisible="GetVisible" getEnabled="GetEnabled"/>
            <menuSeparator id="sepCol2"/>
            <toggleButton id="tgbcbCol8" getLabel="GetLabel" getScreentip="GetScreentip" getSupertip="GetSupertip" tag="Calculation" onAction="OnActionTglButton" getPressed="GetPressedTglButton" getVisible="GetVisible" getEnabled="GetEnabled"/>
            <toggleButton id="tgbcbCol9" getLabel="GetLabel" getScreentip="GetScreentip" getSupertip="GetSupertip" tag="Calculation" onAction="OnActionTglButton" getPressed="GetPressedTglButton" getVisible="GetVisible" getEnabled="GetEnabled"/>
            <menuSeparator id="sepCol3"/>
            <toggleButton id="tgbcbCol10" getLabel="GetLabel" getScreentip="GetScreentip" getSupertip="GetSupertip" tag="Calculation" onAction="OnActionTglButton" getPressed="GetPressedTglButton" getVisible="GetVisible" getEnabled="GetEnabled"/>
          </menu>
        </group>
        <!-- 03 Premisses -->
        <group id="grp03" autoScale="true" centerVertically="true" getLabel="GetLabel" getVisible="GetVisible" tag="Premisses">
          <menu id="mnu010" size="large" itemSize="normal" getLabel="GetLabel" imageMso="AddOrRemoveAttendees" tag="Premisses" getVisible="GetVisible" getEnabled="GetEnabled">
            <button id="btn010" getLabel="GetLabel" getScreentip="GetScreentip" getSupertip="GetSupertip" imageMso="GroupGroupMembers" tag="Premisses" onAction="OnActionButton" getVisible="GetVisible" getEnabled="GetEnabled"/>
            <dynamicMenu id="dym010" invalidateContentOnDrop="true" getLabel="GetLabel" getScreentip="GetScreentip" getSupertip="GetSupertip" imageMso="AddDepartment" tag="Premisses" getVisible="GetVisible" getEnabled="GetEnabled" getContent="GetContent"/>
            <menuSeparator id="sep010"/>
            <dynamicMenu id="dym011" invalidateContentOnDrop="true" getLabel="GetLabel" getScreentip="GetScreentip" getSupertip="GetSupertip" imageMso="GroupRibbonLeave" tag="Premisses" getVisible="GetVisible" getEnabled="GetEnabled" getContent="GetContent"/>
          </menu>
          <separator id="spr0300"/>
          <menu id="mnuIndirectCosts" size="large" itemSize="normal" getLabel="GetLabel" getScreentip="GetScreentip" getSupertip="GetSupertip" image="overhead.png" tag="Premisses" getVisible="GetVisible" getEnabled="GetEnabled">
            <menu id="mnuIndirectCosts1" itemSize="normal" getLabel="GetLabel" getScreentip="GetScreentip" getSupertip="GetSupertip" tag="Premisses">
              <checkBox id="cbxIndirectCosts1A" getLabel="GetLabel" getScreentip="GetScreentip" getSupertip="GetSupertip" onAction="OnActionCheckbox" getPressed="GetPressedCheckbox" tag="Premisses" getVisible="GetVisible" getEnabled="GetEnabled"/>
              <checkBox id="cbxIndirectCosts1B" getLabel="GetLabel" getScreentip="GetScreentip" getSupertip="GetSupertip" onAction="OnActionCheckbox" getPressed="GetPressedCheckbox" tag="Premisses" getVisible="GetVisible" getEnabled="GetEnabled"/>
              <menuSeparator id="sepIndirectCosts1"/>
              <checkBox id="cbxIndirectCosts1C" getLabel="GetLabel" getScreentip="GetScreentip" getSupertip="GetSupertip" onAction="OnActionCheckbox" getPressed="GetPressedCheckbox" tag="Premisses" getVisible="GetVisible" getEnabled="GetEnabled"/>
            </menu>
            <menu id="mnuIndirectCosts2" itemSize="normal" getLabel="GetLabel" getScreentip="GetScreentip" getSupertip="GetSupertip" tag="Premisses">
              <checkBox id="cbxIndirectCosts2A" getLabel="GetLabel" getScreentip="GetScreentip" getSupertip="GetSupertip" onAction="OnActionCheckbox" getPressed="GetPressedCheckbox" tag="Premisses" getVisible="GetVisible" getEnabled="GetEnabled"/>
              <checkBox id="cbxIndirectCosts2B" getLabel="GetLabel" getScreentip="GetScreentip" getSupertip="GetSupertip" onAction="OnActionCheckbox" getPressed="GetPressedCheckbox" tag="Premisses" getVisible="GetVisible" getEnabled="GetEnabled"/>
              <menuSeparator id="sepIndirectCosts2"/>
              <checkBox id="cbxIndirectCosts2C" getLabel="GetLabel" getScreentip="GetScreentip" getSupertip="GetSupertip" onAction="OnActionCheckbox" getPressed="GetPressedCheckbox" tag="Premisses" getVisible="GetVisible" getEnabled="GetEnabled"/>
            </menu>
            <menuSeparator id="sepIndirectCosts"/>
            <menu id="mnuIndirectCosts3" itemSize="normal" getLabel="GetLabel" getScreentip="GetScreentip" getSupertip="GetSupertip" tag="Premisses">
              <checkBox id="cbxIndirectCosts3A" getLabel="GetLabel" getScreentip="GetScreentip" getSupertip="GetSupertip" onAction="OnActionCheckbox" getPressed="GetPressedCheckbox" tag="Premisses" getVisible="GetVisible" getEnabled="GetEnabled"/>
              <checkBox id="cbxIndirectCosts3B" getLabel="GetLabel" getScreentip="GetScreentip" getSupertip="GetSupertip" onAction="OnActionCheckbox" getPressed="GetPressedCheckbox" tag="Premisses" getVisible="GetVisible" getEnabled="GetEnabled"/>
            </menu>
            <menu id="mnuIndirectCosts4" itemSize="normal" getLabel="GetLabel" getScreentip="GetScreentip" getSupertip="GetSupertip" tag="Premisses">
              <checkBox id="cbxIndirectCosts4A" getLabel="GetLabel" getScreentip="GetScreentip" getSupertip="GetSupertip" onAction="OnActionCheckbox" getPressed="GetPressedCheckbox" tag="Premisses" getVisible="GetVisible" getEnabled="GetEnabled"/>
              <checkBox id="cbxIndirectCosts4B" getLabel="GetLabel" getScreentip="GetScreentip" getSupertip="GetSupertip" onAction="OnActionCheckbox" getPressed="GetPressedCheckbox" tag="Premisses" getVisible="GetVisible" getEnabled="GetEnabled"/>
            </menu>
          </menu>
          <button id="btnRefreshOverhead" size="large" getLabel="GetLabel" getScreentip="GetScreentip" getSupertip="GetSupertip" image="overheadRefresh.png" tag="Premises" onAction="OnActionButton" getVisible="GetVisible" getEnabled="GetEnabled"/>
        </group>
        <!-- 04 MHR, MAT, LOC, Tooling, EDnT -->
        <group id="grpMHR" autoScale="true" centerVertically="true" getLabel="GetLabel" getVisible="GetVisible" tag="MHR">
          <menu id="mnuMHR" size="large" itemSize="normal" getLabel="GetLabel" getScreentip="GetScreentip" getSupertip="GetSupertip" image="mhr.png" tag="MHR" getVisible="GetVisible" getEnabled="GetEnabled">
            <dynamicMenu id="dymMHR" invalidateContentOnDrop="true" getLabel="GetLabel" getScreentip="GetScreentip" getSupertip="GetSupertip" tag="MHR" getVisible="GetVisible" getEnabled="GetEnabled" getContent="GetContent"/>
            <button id="btnMHRDB" getLabel="GetLabel" getScreentip="GetScreentip" getSupertip="GetSupertip" tag="MHR" onAction="OnActionButton" getVisible="GetVisible" getEnabled="GetEnabled"/>
            <button id="btnMHRCB" getLabel="GetLabel" getScreentip="GetScreentip" getSupertip="GetSupertip" tag="MHR" onAction="OnActionButton" getVisible="GetVisible" getEnabled="GetEnabled"/>
            <menuSeparator id="sepMHR"/>
            <button id="btnMHRRfs" getLabel="GetLabel" getScreentip="GetScreentip" getSupertip="GetSupertip" imageMso="TableSharePointListsRefreshList" tag="MHR" onAction="OnActionButton" getVisible="GetVisible" getEnabled="GetEnabled"/>
          </menu>
        </group>
        <group id="grpMAT" autoScale="true" centerVertically="true" getLabel="GetLabel" getVisible="GetVisible" tag="MAT">
          <menu id="mnuMAT" size="large" itemSize="normal" getLabel="GetLabel" getScreentip="GetScreentip" getSupertip="GetSupertip" image="mat.png" tag="MAT" getVisible="GetVisible" getEnabled="GetEnabled">
            <dynamicMenu id="dymMAT" invalidateContentOnDrop="true" getLabel="GetLabel" getScreentip="GetScreentip" getSupertip="GetSupertip" tag="MAT" getVisible="GetVisible" getEnabled="GetEnabled" getContent="GetContent"/>
            <button id="btnMATDB" getLabel="GetLabel" getScreentip="GetScreentip" getSupertip="GetSupertip" tag="MAT" onAction="OnActionButton" getVisible="GetVisible" getEnabled="GetEnabled"/>
            <button id="btnMATCB" getLabel="GetLabel" getScreentip="GetScreentip" getSupertip="GetSupertip" tag="MAT" onAction="OnActionButton" getVisible="GetVisible" getEnabled="GetEnabled"/>
            <menuSeparator id="sepMAT"/>
            <button id="btnMATRfs" getLabel="GetLabel" getScreentip="GetScreentip" getSupertip="GetSupertip" imageMso="TableSharePointListsRefreshList" tag="MHR" onAction="OnActionButton" getVisible="GetVisible" getEnabled="GetEnabled"/>
          </menu>
        </group>
        <group id="grpLOC" autoScale="true" centerVertically="true" getLabel="GetLabel" getVisible="GetVisible" tag="LOC">
          <menu id="mnuLOC" size="large" itemSize="normal" getLabel="GetLabel" getScreentip="GetScreentip" getSupertip="GetSupertip" image="loc.png" tag="LOC" getVisible="GetVisible" getEnabled="GetEnabled">
            <button id="btnLOCDB" getLabel="GetLabel" getScreentip="GetScreentip" getSupertip="GetSupertip" tag="LOC" onAction="OnActionButton" getVisible="GetVisible" getEnabled="GetEnabled"/>
            <button id="btnLOCCB" getLabel="GetLabel" getScreentip="GetScreentip" getSupertip="GetSupertip" tag="LOC" onAction="OnActionButton" getVisible="GetVisible" getEnabled="GetEnabled"/>
            <menuSeparator id="sepLOC"/>
            <button id="btnLOCRfs" getLabel="GetLabel" getScreentip="GetScreentip" getSupertip="GetSupertip" imageMso="TableSharePointListsRefreshList" tag="LOC" onAction="OnActionButton" getVisible="GetVisible" getEnabled="GetEnabled"/>
          </menu>
        </group>
        <group id="grpTooling" autoScale="true" centerVertically="true" getLabel="GetLabel" getVisible="GetVisible" tag="tooling">
          <menu id="mnuTooling" size="large" itemSize="normal" getLabel="GetLabel" getScreentip="GetScreentip" getSupertip="GetSupertip" image="tooling.png" tag="tooling" getVisible="GetVisible" getEnabled="GetEnabled">
            <button id="btnTooling1" getLabel="GetLabel" getScreentip="GetScreentip" getSupertip="GetSupertip" tag="tooling" onAction="OnActionButton" getVisible="GetVisible" getEnabled="GetEnabled"/>
            <menuSeparator id="sepTooling"/>
            <button id="btnTooling2" getLabel="GetLabel" getScreentip="GetScreentip" getSupertip="GetSupertip" tag="tooling" onAction="OnActionButton" getVisible="GetVisible" getEnabled="GetEnabled"/>
            <!-- Spalten -->
            <menu id="mnuToolingCol" itemSize="normal" getLabel="GetLabel" getScreentip="GetScreentip" getSupertip="GetSupertip" imageMso="ColumnActionsColumnSettings" tag="tooling" getVisible="GetVisible" getEnabled="GetEnabled">
              <toggleButton id="tgbcbToolingCol1" getLabel="GetLabel" getScreentip="GetScreentip" getSupertip="GetSupertip" tag="tooling" onAction="OnActionTglButton" getPressed="GetPressedTglButton" getVisible="GetVisible" getEnabled="GetEnabled"/>
              <toggleButton id="tgbcbToolingCol2" getLabel="GetLabel" getScreentip="GetScreentip" getSupertip="GetSupertip" tag="tooling" onAction="OnActionTglButton" getPressed="GetPressedTglButton" getVisible="GetVisible" getEnabled="GetEnabled"/>
              <toggleButton id="tgbcbToolingCol3" getLabel="GetLabel" getScreentip="GetScreentip" getSupertip="GetSupertip" tag="tooling" onAction="OnActionTglButton" getPressed="GetPressedTglButton" getVisible="GetVisible" getEnabled="GetEnabled"/>
              <toggleButton id="tgbcbToolingCol4" getLabel="GetLabel" getScreentip="GetScreentip" getSupertip="GetSupertip" tag="tooling" onAction="OnActionTglButton" getPressed="GetPressedTglButton" getVisible="GetVisible" getEnabled="GetEnabled"/>
              <toggleButton id="tgbcbToolingCol5" getLabel="GetLabel" getScreentip="GetScreentip" getSupertip="GetSupertip" tag="tooling" onAction="OnActionTglButton" getPressed="GetPressedTglButton" getVisible="GetVisible" getEnabled="GetEnabled"/>
            </menu>
          </menu>
        </group>
        <group id="grpEDnT" autoScale="true" centerVertically="true" getLabel="GetLabel" getVisible="GetVisible" tag="ednt">
          <menu id="mnuEDnT" size="large" itemSize="normal" getLabel="GetLabel" getScreentip="GetScreentip" getSupertip="GetSupertip" image="ednt.png" tag="ednt" getVisible="GetVisible" getEnabled="GetEnabled">
            <button id="btnEDnT1" getLabel="GetLabel" getScreentip="GetScreentip" getSupertip="GetSupertip" tag="ednt" onAction="OnActionButton" getVisible="GetVisible" getEnabled="GetEnabled"/>
            <!-- 				<button id="btnEDnT2" getLabel="GetLabel" getScreentip="GetScreentip" getSupertip="GetSupertip" tag="ednt" onAction="OnActionButton" getVisible="GetVisible" getEnabled="GetEnabled" />
				<menuSeparator id="sepEDnT" />
				<button id="btnEDnT3" getLabel="GetLabel" getScreentip="GetScreentip" getSupertip="GetSupertip"  imageMso="TableSharePointListsRefreshList" tag="ednt" onAction="OnActionButton" getVisible="GetVisible" getEnabled="GetEnabled" /> -->
          </menu>
        </group>
        <!-- 08 ACT-X (Know-How) -->
        <group id="grp08" autoScale="true" centerVertically="true" getLabel="GetLabel" getVisible="GetVisible" tag="Know-How">
          <splitButton id="sbtTEC" getVisible="GetVisible" getEnabled="GetEnabled" size="large">
            <button id="btnTEC" getLabel="GetLabel" getScreentip="GetScreentip" getSupertip="GetSupertip" image="tec.png" tag="Know-How" onAction="OnActionButton"/>
            <menu id="mnu_sbtTEC" itemSize="normal" tag="PCB">
              <button id="btnTECMHR" getLabel="GetLabel" getScreentip="GetScreentip" getSupertip="GetSupertip" tag="Know-How" onAction="OnActionButton" getVisible="GetVisible" getEnabled="GetEnabled"/>
              <button id="btnTECMAT" getLabel="GetLabel" getScreentip="GetScreentip" getSupertip="GetSupertip" tag="Know-How" onAction="OnActionButton" getVisible="GetVisible" getEnabled="GetEnabled"/>
              <menuSeparator id="sepKH"/>
              <menu id="mnu_sbtPCB" itemSize="normal" getLabel="GetLabel" getScreentip="GetScreentip" getSupertip="GetSupertip" image="pcb.png" tag="PCB">
                <button id="btnNewPCB" getLabel="GetLabel" getScreentip="GetScreentip" getSupertip="GetSupertip" tag="PCB" onAction="OnActionButton" getVisible="GetVisible" getEnabled="GetEnabled"/>
                <button id="btnPCB" getLabel="GetLabel" getScreentip="GetScreentip" getSupertip="GetSupertip" tag="PCB" onAction="OnActionButton" getVisible="GetVisible" getEnabled="GetEnabled"/>
              </menu>
              <!--End menu (mnu_sbtPCB) NOT delete this remark-->
            </menu>
            <!--End menu (mnu_sbtTEC) NOT delete this remark-->
          </splitButton>
          <!--End splitButton (sbtTEC) NOT delete this remark-->
          <separator id="sprWD02" getVisible="GetVisible"/>
          <button id="btnMHR" image="mhr.png" size="normal" getLabel="GetLabel" getScreentip="GetScreentip" getSupertip="GetSupertip" tag="WD" onAction="OnActionButton" getVisible="GetVisible" getEnabled="GetEnabled"/>
          <button id="btnMAT" image="mat.png" size="normal" getLabel="GetLabel" getScreentip="GetScreentip" getSupertip="GetSupertip" tag="WD" onAction="OnActionButton" getVisible="GetVisible" getEnabled="GetEnabled"/>
          <button id="btnLOC" image="loc.png" size="normal" getLabel="GetLabel" getScreentip="GetScreentip" getSupertip="GetSupertip" tag="WD" onAction="OnActionButton" getVisible="GetVisible" getEnabled="GetEnabled"/>
        </group>
        <!-- 09 Advanced -->
        <group id="grp09" autoScale="true" centerVertically="true" getLabel="GetLabel" getVisible="GetVisible" tag="Advanced">
          <!-- Check -->
          <splitButton id="sbt15" getVisible="GetVisible" getEnabled="GetEnabled" size="large">
            <button id="btn_sbt15" imageMso="PivotTableWhatIfAnalysisMenu" getLabel="GetLabel" getScreentip="GetScreentip" getSupertip="GetSupertip" tag="Advanced" onAction="OnActionButton"/>
            <menu id="mnu_sbt15" itemSize="normal" tag="Advanced">
              <button id="btnCheckMe" getLabel="GetLabel" getScreentip="GetScreentip" getSupertip="GetSupertip" imageMso="SlidesPerPage1Slide" tag="Advanced" onAction="OnActionButton" getVisible="GetVisible" getEnabled="GetEnabled"/>
              <button id="btnCheckAll" getLabel="GetLabel" getScreentip="GetScreentip" getSupertip="GetSupertip" imageMso="SlidesPerPage4Slides" tag="Advanced" onAction="OnActionButton" getVisible="GetVisible" getEnabled="GetEnabled"/>
              <menuSeparator id="sep0111"/>
              <button id="btnCheckReset" getLabel="GetLabel" getScreentip="GetScreentip" getSupertip="GetSupertip" imageMso="ResetLayout" tag="Advanced" onAction="OnActionButton" getVisible="GetVisible" getEnabled="GetEnabled"/>
            </menu>
          </splitButton>
          <separator id="spr0900"/>
          <!-- Layout -->
          <menu id="mnuLayout" size="normal" itemSize="normal" getLabel="GetLabel" getScreentip="GetScreentip" getSupertip="GetSupertip" imageMso="CreateQueryInDesignView" tag="Layout" getVisible="GetVisible" getEnabled="GetEnabled">
            <button id="btnLayout1" getLabel="GetLabel" getScreentip="GetScreentip" getSupertip="GetSupertip" tag="Layout" onAction="OnActionButton" getVisible="GetVisible" getEnabled="GetEnabled"/>
          </menu>
          <!-- Export -->
          <menu id="mnuExport" size="normal" itemSize="normal" getLabel="GetLabel" imageMso="ExportTextFile" tag="Export" getVisible="GetVisible" getEnabled="GetEnabled">
            <button id="btnExportToPowerPoint" getLabel="GetLabel" getScreentip="GetScreentip" getSupertip="GetSupertip" imageMso="FileSaveAsPowerPointPptx" tag="Export" onAction="OnActionButton" getVisible="GetVisible" getEnabled="GetEnabled"/>
            <button id="btnExportToCbd" getLabel="GetLabel" getScreentip="GetScreentip" getSupertip="GetSupertip" imageMso="FileSaveAsExcelXlsx" tag="Export" onAction="OnActionButton" getVisible="GetVisible" getEnabled="GetEnabled"/>
            <button id="btnExportToQaf" getLabel="GetLabel" getScreentip="GetScreentip" getSupertip="GetSupertip" imageMso="FileSaveAsExcelXlsx" tag="Export" onAction="OnActionButton" getVisible="GetVisible" getEnabled="GetEnabled"/>
            <menuSeparator id="sepExport"/>
            <button id="btnOpenLabelmaker" getLabel="GetLabel" getScreentip="GetScreentip" getSupertip="GetSupertip" imageMso="GanttTaskLink" tag="Export" onAction="OnActionButton" getVisible="GetVisible" getEnabled="GetEnabled"/>
          </menu>
          <!-- Other Settings (lower righthand corner menu) -->
          <dialogBoxLauncher>
            <button id="dlBSettings" onAction="OnActionButton" getScreentip="GetScreentip" getSupertip="GetSupertip"/>
          </dialogBoxLauncher>
        </group>
        <!-- 10 Performance -->
        <group id="grpPerformance" autoScale="true" centerVertically="true" getLabel="GetLabel" getVisible="GetVisible" tag="Performance">
          <splitButton id="sbtCalculate" getVisible="GetVisible" getEnabled="GetEnabled" size="large">
            <button id="btn_sbtCalculate" imageMso="CalculateFull" getLabel="GetLabel" getScreentip="GetScreentip" getSupertip="GetSupertip" tag="Performance" onAction="OnActionButton" getEnabled="GetEnabled"/>
            <menu id="mnu_sbtCalculate" itemSize="normal" tag="Performance">
              <button id="btnCalculateAlt" getLabel="GetLabel" getScreentip="GetScreentip" getSupertip="GetSupertip" imageMso="CalculateFull" tag="Performance" onAction="OnActionButton" getVisible="GetVisible" getEnabled="GetEnabled"/>
              <button id="btnCalculateAll" getLabel="GetLabel" getScreentip="GetScreentip" getSupertip="GetSupertip" imageMso="CalculateNow" tag="Performance" onAction="OnActionButton" getVisible="GetVisible" getEnabled="GetEnabled"/>
              <menuSeparator id="sepCalculate"/>
              <toggleButton id="tgbCalculate1" getLabel="GetLabel" getScreentip="GetScreentip" getSupertip="GetSupertip" tag="Performance" onAction="OnActionTglButton" getPressed="GetPressedTglButton" getVisible="GetVisible" getEnabled="GetEnabled"/>
              <toggleButton id="tgbCalculate2" getLabel="GetLabel" getScreentip="GetScreentip" getSupertip="GetSupertip" tag="Performance" onAction="OnActionTglButton" getPressed="GetPressedTglButton" getVisible="GetVisible" getEnabled="GetEnabled"/>
              <toggleButton id="tgbCalculate3" getLabel="GetLabel" getScreentip="GetScreentip" getSupertip="GetSupertip" tag="Performance" onAction="OnActionTglButton" getPressed="GetPressedTglButton" getVisible="GetVisible" getEnabled="GetEnabled"/>
            </menu>
          </splitButton>
          <menu id="mnuPerformance" size="large" itemSize="normal" imageMso="TableStyleClear" getLabel="GetLabel" getVisible="GetVisible" getEnabled="GetEnabled" tag="Performance">
            <button id="btnPerformanceUpdate" getLabel="GetLabel" getScreentip="GetScreentip" getSupertip="GetSupertip" imageMso="UpdateInteractiveIndex" tag="Performance" onAction="OnActionButton" getVisible="GetVisible" getEnabled="GetEnabled"/>
            <menuSeparator id="sepPerformance1"/>
            <toggleButton id="tgbPerformance1" getLabel="GetLabel" getScreentip="GetScreentip" getSupertip="GetSupertip" tag="Performance" onAction="OnActionTglButton" getPressed="GetPressedTglButton" getVisible="GetVisible" getEnabled="GetEnabled"/>
            <toggleButton id="tgbPerformance2" getLabel="GetLabel" getScreentip="GetScreentip" getSupertip="GetSupertip" tag="Performance" onAction="OnActionTglButton" getPressed="GetPressedTglButton" getVisible="GetVisible" getEnabled="GetEnabled"/>
            <toggleButton id="tgbPerformance3" getLabel="GetLabel" getScreentip="GetScreentip" getSupertip="GetSupertip" tag="Performance" onAction="OnActionTglButton" getPressed="GetPressedTglButton" getVisible="GetVisible" getEnabled="GetEnabled"/>
            <menuSeparator id="sepPerformance2"/>
            <menu id="mnuPerformance2" itemSize="normal" getLabel="GetLabel" getScreentip="GetScreentip" getSupertip="GetSupertip" tag="Performance" getVisible="GetVisible" getEnabled="GetEnabled">
              <toggleButton id="tgbPerformance21" getLabel="GetLabel" getScreentip="GetScreentip" getSupertip="GetSupertip" tag="Performance" onAction="OnActionTglButton" getPressed="GetPressedTglButton" getVisible="GetVisible" getEnabled="GetEnabled"/>
              <toggleButton id="tgbPerformance22" getLabel="GetLabel" getScreentip="GetScreentip" getSupertip="GetSupertip" tag="Performance" onAction="OnActionTglButton" getPressed="GetPressedTglButton" getVisible="GetVisible" getEnabled="GetEnabled"/>
            </menu>
          </menu>
        </group>
        <!-- CO2 -->
        <group id="grpCO2" autoScale="true" centerVertically="true" getLabel="GetLabel" getVisible="GetVisible" tag="CO2">
          <menu id="mnuCO2" size="large" itemSize="normal" getLabel="GetLabel" image="co2.png" tag="CO2" getVisible="GetVisible" getEnabled="GetEnabled">
            <checkBox id="cbxCO21" getLabel="GetLabel" getScreentip="GetScreentip" getSupertip="GetSupertip" onAction="OnActionCheckbox" getPressed="GetPressedCheckbox" tag="CO2" getVisible="GetVisible" getEnabled="GetEnabled"/>
            <menuSeparator id="sepCO21"/>
            <checkBox id="cbxCO22" getLabel="GetLabel" getScreentip="GetScreentip" getSupertip="GetSupertip" onAction="OnActionCheckbox" getPressed="GetPressedCheckbox" tag="CO2" getVisible="GetVisible" getEnabled="GetEnabled"/>
            <menuSeparator id="sepCO22"/>
            <button id="btnValuesCO2ClusterAnalysis" getLabel="GetLabel" getScreentip="GetScreentip" getSupertip="GetSupertip" tag="CO2" onAction="OnActionButton" getVisible="GetVisible" getEnabled="GetEnabled"/>
            <button id="btnRefreshCO2SourceClusterAnalysis" getLabel="GetLabel" getScreentip="GetScreentip" getSupertip="GetSupertip" tag="CO2" onAction="OnActionButton" getVisible="GetVisible" getEnabled="GetEnabled"/>
          </menu>
        </group>
        <!-- Logistics -->
        <group id="grpLog" autoScale="true" centerVertically="true" getLabel="GetLabel" getVisible="GetVisible" tag="Log">
          <menu id="mnuLog" size="large" itemSize="normal" getLabel="GetLabel" image="log.png" tag="Log" getVisible="GetVisible" getEnabled="GetEnabled">
            <button id="btnLogSync" getLabel="GetLabel" getScreentip="GetScreentip" getSupertip="GetSupertip" imageMso="SmartArtRightToLeft" tag="Log" onAction="OnActionButton" getVisible="GetVisible" getEnabled="GetEnabled"/>
          </menu>
        </group>
        <!-- ACT-P: Potentials -->
        <group id="grpPot" autoScale="true" centerVertically="true" getLabel="GetLabel" getVisible="GetVisible" tag="Pot">
          <menu id="mnuPot" size="large" itemSize="normal" getLabel="GetLabel" image="pot.png" tag="Pot" getVisible="GetVisible" getEnabled="GetEnabled">
            <button id="btnPotAnalysis" getLabel="GetLabel" getScreentip="GetScreentip" getSupertip="GetSupertip" imageMso="SmartArtRightToLeft" tag="Pot" onAction="OnActionButton" getVisible="GetVisible" getEnabled="GetEnabled"/>
            <menuSeparator id="sepPot1"/>
            <button id="btnOpenPotDb" getLabel="GetLabel" getScreentip="GetScreentip" getSupertip="GetSupertip" tag="Pot" onAction="OnActionButton" getVisible="GetVisible" getEnabled="GetEnabled"/>
            <checkBox id="cbxPotLearning" getLabel="GetLabel" getScreentip="GetScreentip" getSupertip="GetSupertip" onAction="OnActionCheckbox" getPressed="GetPressedCheckbox" tag="Pot" getVisible="GetVisible" getEnabled="GetEnabled"/>
          </menu>
        </group>
        <!-- Help, Imprint -->
        <group id="grpFinal" autoScale="true" centerVertically="true" getVisible="GetVisible" tag="Imprint">
          <!-- Help -->
          <menu id="mnuHlp" size="large" itemSize="normal" getLabel="GetLabel" getScreentip="GetScreentip" getSupertip="GetSupertip" imageMso="LevelingHelpTopics" tag="Help" getVisible="GetVisible" getEnabled="GetEnabled">
            <!-- Hilfeleiste -->
            <toggleButton id="tgbHlpHelpBar" getLabel="GetLabel" getScreentip="GetScreentip" getSupertip="GetSupertip" imageMso="MenuToDoBar" tag="Help" onAction="OnActionTglButton" getPressed="GetPressedTglButton" getVisible="GetVisible" getEnabled="GetEnabled"/>
            <!-- Dokumentation öffnen -->
            <button id="btnHlpDoc" getLabel="GetLabel" getScreentip="GetScreentip" getSupertip="GetSupertip" imageMso="CLViewDialogHelpID" tag="Help" onAction="OnActionButton" getVisible="GetVisible" getEnabled="GetEnabled"/>
            <!-- Tutorial -->
            <toggleButton id="tgbHlpTutorial" getLabel="GetLabel" getScreentip="GetScreentip" getSupertip="GetSupertip" imageMso="SlideShowFromBeginning" tag="Help" onAction="OnActionTglButton" getPressed="GetPressedTglButton" getVisible="GetVisible" getEnabled="GetEnabled"/>
            <!-- E-Mail -->
            <button id="btnHlpMail" getLabel="GetLabel" getScreentip="GetScreentip" getSupertip="GetSupertip" imageMso="NewItem" tag="Help" onAction="OnActionButton" getVisible="GetVisible" getEnabled="GetEnabled"/>
            <!-- Kundenansicht -->
            <toggleButton id="tgbHlpCustomerView" getLabel="GetLabel" getScreentip="GetScreentip" getSupertip="GetSupertip" imageMso="GroupPivotDiagramFormat" tag="Help" onAction="OnActionTglButton" getPressed="GetPressedTglButton" getVisible="GetVisible" getEnabled="GetEnabled"/>
            <!-- Reset -->
            <button id="btnHlpReset" getLabel="GetLabel" getScreentip="GetScreentip" getSupertip="GetSupertip" imageMso="ResetToSiteDefinition" tag="Help" onAction="OnActionButton" getVisible="GetVisible" getEnabled="GetEnabled"/>
            <menuSeparator id="sepHlp"/>
            <!-- Info -->
            <button id="btnHlpInfo" getLabel="GetLabel" getScreentip="GetScreentip" getSupertip="GetSupertip" imageMso="Info" tag="Help" onAction="OnActionButton" getVisible="GetVisible" getEnabled="GetEnabled"/>
          </menu>
          <!-- Imprint -->
          <button id="btnACT" size="large" getLabel="GetLabel" image="act.png" tag="Imprint" onAction="OnActionButton" visible="true" getScreentip="GetScreentip" getEnabled="GetEnabl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17CE68A54106F646B4D05788A8F0AB99" ma:contentTypeVersion="13" ma:contentTypeDescription="Create a new document." ma:contentTypeScope="" ma:versionID="b03353c2ee8c7b0ebd367f6a6aaa8568">
  <xsd:schema xmlns:xsd="http://www.w3.org/2001/XMLSchema" xmlns:xs="http://www.w3.org/2001/XMLSchema" xmlns:p="http://schemas.microsoft.com/office/2006/metadata/properties" xmlns:ns2="e7eb68fc-9da3-4492-a8be-b9f85eda5f72" xmlns:ns3="a8e107fd-659c-4efa-8a57-6aba7b817710" targetNamespace="http://schemas.microsoft.com/office/2006/metadata/properties" ma:root="true" ma:fieldsID="8e172f5af983425749182244156452b3" ns2:_="" ns3:_="">
    <xsd:import namespace="e7eb68fc-9da3-4492-a8be-b9f85eda5f72"/>
    <xsd:import namespace="a8e107fd-659c-4efa-8a57-6aba7b8177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eb68fc-9da3-4492-a8be-b9f85eda5f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1edaf98-933d-48b7-9af8-6bdbb703d06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8e107fd-659c-4efa-8a57-6aba7b81771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7750010-8896-432d-9441-f516b008a4e6}" ma:internalName="TaxCatchAll" ma:showField="CatchAllData" ma:web="a8e107fd-659c-4efa-8a57-6aba7b8177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a8e107fd-659c-4efa-8a57-6aba7b817710" xsi:nil="true"/>
    <lcf76f155ced4ddcb4097134ff3c332f xmlns="e7eb68fc-9da3-4492-a8be-b9f85eda5f7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9BB9C1E-6F09-4BBD-9827-F458F137ED5E}">
  <ds:schemaRefs>
    <ds:schemaRef ds:uri="http://schemas.microsoft.com/DataMashup"/>
  </ds:schemaRefs>
</ds:datastoreItem>
</file>

<file path=customXml/itemProps2.xml><?xml version="1.0" encoding="utf-8"?>
<ds:datastoreItem xmlns:ds="http://schemas.openxmlformats.org/officeDocument/2006/customXml" ds:itemID="{16997DC1-BA48-405B-AC68-69977191E9F8}"/>
</file>

<file path=customXml/itemProps3.xml><?xml version="1.0" encoding="utf-8"?>
<ds:datastoreItem xmlns:ds="http://schemas.openxmlformats.org/officeDocument/2006/customXml" ds:itemID="{EA57C504-4F90-42C2-AF36-887DCE3C04BF}"/>
</file>

<file path=customXml/itemProps4.xml><?xml version="1.0" encoding="utf-8"?>
<ds:datastoreItem xmlns:ds="http://schemas.openxmlformats.org/officeDocument/2006/customXml" ds:itemID="{101173A3-34AD-41F6-A787-07411D22C380}"/>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57</vt:i4>
      </vt:variant>
    </vt:vector>
  </HeadingPairs>
  <TitlesOfParts>
    <vt:vector size="72" baseType="lpstr">
      <vt:lpstr>BOM</vt:lpstr>
      <vt:lpstr>Calculation</vt:lpstr>
      <vt:lpstr>Premises</vt:lpstr>
      <vt:lpstr>Analysis</vt:lpstr>
      <vt:lpstr>Cluster</vt:lpstr>
      <vt:lpstr>MHR</vt:lpstr>
      <vt:lpstr>MAT</vt:lpstr>
      <vt:lpstr>LOC</vt:lpstr>
      <vt:lpstr>E-BOM PCB Main UI</vt:lpstr>
      <vt:lpstr>E-BOM PCB UI</vt:lpstr>
      <vt:lpstr>E-BOM PCB UI Middle</vt:lpstr>
      <vt:lpstr>E-BOM PCB UI Upper</vt:lpstr>
      <vt:lpstr>Info</vt:lpstr>
      <vt:lpstr>IndirectCosts</vt:lpstr>
      <vt:lpstr>Handling</vt:lpstr>
      <vt:lpstr>ASY_Operations_DE</vt:lpstr>
      <vt:lpstr>ASY_Operations_EN</vt:lpstr>
      <vt:lpstr>Translation!Auto</vt:lpstr>
      <vt:lpstr>AutoManual_Dropdown</vt:lpstr>
      <vt:lpstr>CALC</vt:lpstr>
      <vt:lpstr>Cluster1_Dropdown</vt:lpstr>
      <vt:lpstr>Cluster2_Dropdown</vt:lpstr>
      <vt:lpstr>Cluster3_Dropdown</vt:lpstr>
      <vt:lpstr>Currency</vt:lpstr>
      <vt:lpstr>CycleTime</vt:lpstr>
      <vt:lpstr>ExchangeRate</vt:lpstr>
      <vt:lpstr>HandlingPrecise</vt:lpstr>
      <vt:lpstr>HandlingUnprecise</vt:lpstr>
      <vt:lpstr>InputCurrency</vt:lpstr>
      <vt:lpstr>'E-BOM PCB Main UI'!Language</vt:lpstr>
      <vt:lpstr>'E-BOM PCB UI'!Language</vt:lpstr>
      <vt:lpstr>'E-BOM PCB UI Middle'!Language</vt:lpstr>
      <vt:lpstr>'E-BOM PCB UI Upper'!Language</vt:lpstr>
      <vt:lpstr>Language</vt:lpstr>
      <vt:lpstr>LOC_Dropdown</vt:lpstr>
      <vt:lpstr>Translation!Luft</vt:lpstr>
      <vt:lpstr>Translation!M</vt:lpstr>
      <vt:lpstr>Machine</vt:lpstr>
      <vt:lpstr>Translation!Manuell</vt:lpstr>
      <vt:lpstr>MAT_Dropdown</vt:lpstr>
      <vt:lpstr>MAT_Price</vt:lpstr>
      <vt:lpstr>MAT_Type</vt:lpstr>
      <vt:lpstr>MAT_Unit</vt:lpstr>
      <vt:lpstr>MAT_Used</vt:lpstr>
      <vt:lpstr>MaxNumberOfRowsPerBlock</vt:lpstr>
      <vt:lpstr>MGK_Dropdown</vt:lpstr>
      <vt:lpstr>MHR_Dropdown</vt:lpstr>
      <vt:lpstr>MHR_Used</vt:lpstr>
      <vt:lpstr>ModeOfTransportation_Dropdown</vt:lpstr>
      <vt:lpstr>ModeOfTransportationAtDestination_Dropdown</vt:lpstr>
      <vt:lpstr>ModeOfTransportationAtStart_Dropdown</vt:lpstr>
      <vt:lpstr>Translation!No</vt:lpstr>
      <vt:lpstr>Translation!None</vt:lpstr>
      <vt:lpstr>Translation!Palette</vt:lpstr>
      <vt:lpstr>PartsPerCycle</vt:lpstr>
      <vt:lpstr>Translation!Pcs</vt:lpstr>
      <vt:lpstr>AssemblyData!Premises</vt:lpstr>
      <vt:lpstr>Premises</vt:lpstr>
      <vt:lpstr>PremisesToExport</vt:lpstr>
      <vt:lpstr>'E-BOM PCB Main UI'!Project_Factor</vt:lpstr>
      <vt:lpstr>'E-BOM PCB UI'!Project_Factor</vt:lpstr>
      <vt:lpstr>'E-BOM PCB UI Middle'!Project_Factor</vt:lpstr>
      <vt:lpstr>'E-BOM PCB UI Upper'!Project_Factor</vt:lpstr>
      <vt:lpstr>Revision</vt:lpstr>
      <vt:lpstr>Translation!Schiene</vt:lpstr>
      <vt:lpstr>Translation!SchienePlusStraße</vt:lpstr>
      <vt:lpstr>Translation!See</vt:lpstr>
      <vt:lpstr>Translation!Straße</vt:lpstr>
      <vt:lpstr>Translation!StraßePlusSchiene</vt:lpstr>
      <vt:lpstr>Version</vt:lpstr>
      <vt:lpstr>Translation!Yes</vt:lpstr>
      <vt:lpstr>YesNo_Dropdown</vt:lpstr>
    </vt:vector>
  </TitlesOfParts>
  <Company>AWS Systemtechnik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AWS-ACT</dc:title>
  <dc:creator>AWS Systemtechnik GmbH</dc:creator>
  <cp:lastModifiedBy>Obermayr, Andreas</cp:lastModifiedBy>
  <cp:revision>2</cp:revision>
  <cp:lastPrinted>2021-09-06T09:13:22Z</cp:lastPrinted>
  <dcterms:created xsi:type="dcterms:W3CDTF">2002-01-30T06:25:21Z</dcterms:created>
  <dcterms:modified xsi:type="dcterms:W3CDTF">2024-06-17T15:08:55Z</dcterms:modified>
  <cp:version>6</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ibbonID">
    <vt:lpwstr>1201929723856</vt:lpwstr>
  </property>
  <property fmtid="{D5CDD505-2E9C-101B-9397-08002B2CF9AE}" pid="3" name="ContentTypeId">
    <vt:lpwstr>0x01010017CE68A54106F646B4D05788A8F0AB99</vt:lpwstr>
  </property>
  <property fmtid="{D5CDD505-2E9C-101B-9397-08002B2CF9AE}" pid="4" name="MediaServiceImageTags">
    <vt:lpwstr/>
  </property>
</Properties>
</file>