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baquero\Desktop\Cronograma\"/>
    </mc:Choice>
  </mc:AlternateContent>
  <bookViews>
    <workbookView xWindow="0" yWindow="0" windowWidth="20460" windowHeight="7980"/>
  </bookViews>
  <sheets>
    <sheet name="Noviembre" sheetId="1" r:id="rId1"/>
    <sheet name="Sheet1" sheetId="2" r:id="rId2"/>
  </sheets>
  <externalReferences>
    <externalReference r:id="rId3"/>
  </externalReferences>
  <definedNames>
    <definedName name="_xlnm._FilterDatabase" localSheetId="0" hidden="1">Noviembre!$A$7:$AO$27</definedName>
  </definedNames>
  <calcPr calcId="152511"/>
</workbook>
</file>

<file path=xl/calcChain.xml><?xml version="1.0" encoding="utf-8"?>
<calcChain xmlns="http://schemas.openxmlformats.org/spreadsheetml/2006/main">
  <c r="M27" i="1" l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L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K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J40" i="1" l="1"/>
  <c r="J55" i="1" l="1"/>
  <c r="J44" i="1"/>
  <c r="K44" i="1" s="1"/>
  <c r="J42" i="1" l="1"/>
  <c r="J51" i="1" l="1"/>
  <c r="J50" i="1" l="1"/>
  <c r="K50" i="1" s="1"/>
  <c r="J48" i="1"/>
  <c r="K48" i="1" s="1"/>
  <c r="J49" i="1"/>
  <c r="J47" i="1"/>
  <c r="J72" i="1" l="1"/>
  <c r="J75" i="1" s="1"/>
  <c r="J41" i="1" l="1"/>
  <c r="J56" i="1" l="1"/>
  <c r="K56" i="1" s="1"/>
  <c r="K55" i="1"/>
  <c r="J53" i="1" l="1"/>
  <c r="K53" i="1" s="1"/>
  <c r="J52" i="1"/>
  <c r="J46" i="1" l="1"/>
  <c r="K46" i="1" s="1"/>
  <c r="J45" i="1"/>
  <c r="J43" i="1" l="1"/>
  <c r="J39" i="1"/>
  <c r="J38" i="1"/>
  <c r="K38" i="1" s="1"/>
  <c r="F27" i="1" l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F4" i="2" l="1"/>
  <c r="E6" i="2"/>
  <c r="C19" i="2"/>
  <c r="C22" i="2" s="1"/>
  <c r="C12" i="2" l="1"/>
  <c r="C8" i="2" l="1"/>
  <c r="C6" i="2"/>
  <c r="F6" i="2" s="1"/>
  <c r="D6" i="2"/>
  <c r="C25" i="2" l="1"/>
  <c r="C26" i="2" s="1"/>
  <c r="I14" i="1" l="1"/>
  <c r="J14" i="1" s="1"/>
  <c r="I13" i="1" l="1"/>
  <c r="J13" i="1" s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I24" i="1" l="1"/>
  <c r="J24" i="1" s="1"/>
  <c r="I23" i="1"/>
  <c r="J23" i="1" s="1"/>
  <c r="I16" i="1"/>
  <c r="J16" i="1" s="1"/>
  <c r="I26" i="1" l="1"/>
  <c r="J26" i="1" s="1"/>
  <c r="I20" i="1"/>
  <c r="J20" i="1" s="1"/>
  <c r="I18" i="1"/>
  <c r="J18" i="1" s="1"/>
  <c r="I17" i="1"/>
  <c r="J17" i="1" s="1"/>
  <c r="I15" i="1"/>
  <c r="J15" i="1" s="1"/>
  <c r="I8" i="1"/>
  <c r="I27" i="1" l="1"/>
  <c r="J27" i="1" s="1"/>
  <c r="I25" i="1"/>
  <c r="J25" i="1" s="1"/>
  <c r="I22" i="1"/>
  <c r="J22" i="1" s="1"/>
  <c r="I21" i="1"/>
  <c r="J21" i="1" s="1"/>
  <c r="I19" i="1"/>
  <c r="J19" i="1" s="1"/>
  <c r="I12" i="1"/>
  <c r="J12" i="1" s="1"/>
  <c r="I11" i="1"/>
  <c r="J11" i="1" s="1"/>
  <c r="I10" i="1"/>
  <c r="J10" i="1" s="1"/>
  <c r="I9" i="1"/>
  <c r="J9" i="1" s="1"/>
  <c r="J8" i="1"/>
  <c r="F8" i="1"/>
  <c r="P14" i="1" l="1"/>
  <c r="P15" i="1" l="1"/>
  <c r="P20" i="1"/>
  <c r="P8" i="1"/>
  <c r="P19" i="1"/>
  <c r="P16" i="1"/>
  <c r="P27" i="1" l="1"/>
  <c r="P25" i="1" l="1"/>
  <c r="P9" i="1"/>
  <c r="P21" i="1" l="1"/>
  <c r="P23" i="1"/>
  <c r="P12" i="1" l="1"/>
  <c r="P11" i="1" l="1"/>
  <c r="P26" i="1"/>
  <c r="P10" i="1" l="1"/>
  <c r="P13" i="1"/>
  <c r="P17" i="1"/>
  <c r="P24" i="1"/>
  <c r="P18" i="1" l="1"/>
  <c r="P22" i="1"/>
</calcChain>
</file>

<file path=xl/sharedStrings.xml><?xml version="1.0" encoding="utf-8"?>
<sst xmlns="http://schemas.openxmlformats.org/spreadsheetml/2006/main" count="80" uniqueCount="61">
  <si>
    <t>CRONOGRAMA MENSUAL DE CUMPLIMIENTO DE IMPUESTOS</t>
  </si>
  <si>
    <t>FECHA DE VENCIMIENTOS</t>
  </si>
  <si>
    <t>CONS</t>
  </si>
  <si>
    <t>N.I.T.</t>
  </si>
  <si>
    <t>CLIENTE</t>
  </si>
  <si>
    <t>ULT DIG</t>
  </si>
  <si>
    <t>REV
FIS</t>
  </si>
  <si>
    <t>SENIOR ENCARGADO</t>
  </si>
  <si>
    <t>INGRESOS 2014</t>
  </si>
  <si>
    <t>INGRESOS EN UVT</t>
  </si>
  <si>
    <t>PERIODO IVA (ANTICIPOS EN MAYO Y EN SEPTIEMBRE)</t>
  </si>
  <si>
    <t>DISTRITALES</t>
  </si>
  <si>
    <t>FECHA PROPUESTA CIERRE</t>
  </si>
  <si>
    <t>FECHA INFORMADA CIERRE</t>
  </si>
  <si>
    <t>OBSERVACIONES CONTABILIDAD</t>
  </si>
  <si>
    <t>OBSERVACIONES IMPUESTOS</t>
  </si>
  <si>
    <t xml:space="preserve">RETEFUENTE </t>
  </si>
  <si>
    <t>IVA</t>
  </si>
  <si>
    <t>RET CREE</t>
  </si>
  <si>
    <t>ICA o RETEICA BOGOTA</t>
  </si>
  <si>
    <t>ICA o RETEICA OTROS</t>
  </si>
  <si>
    <t>RECIBO DE PAGO</t>
  </si>
  <si>
    <t>FECHA DE PAGO</t>
  </si>
  <si>
    <t>Fecha asig</t>
  </si>
  <si>
    <t>Elaboro</t>
  </si>
  <si>
    <t>Reviso</t>
  </si>
  <si>
    <t>Cuatrimestral</t>
  </si>
  <si>
    <t>ingresos iguales o superiores a 15.000 UVT ($412.275.000) pero inferiores a 92.000 UVT ($2.528.620.000)</t>
  </si>
  <si>
    <t>AIRLOGISTIX SAS</t>
  </si>
  <si>
    <t>ASTRIS FINANCE COLOMBIA SAS</t>
  </si>
  <si>
    <t>BOUYGUES CONSTRUCCIONES COLOMBA SAS</t>
  </si>
  <si>
    <t>BPO GESTORIA SAS</t>
  </si>
  <si>
    <t>BPO SAS</t>
  </si>
  <si>
    <t>CELCITE COLOMBIA S.A.S EN LIQUIDACION</t>
  </si>
  <si>
    <t xml:space="preserve">CHARIOT &amp; CASTLE </t>
  </si>
  <si>
    <t>CHICPLACE COLOMBIA SAS</t>
  </si>
  <si>
    <t>CLEARFORD COLOMBIA  HOLDING SAS</t>
  </si>
  <si>
    <t>CLEARFORD INDUSTRIES COLOMBIA S.A.S</t>
  </si>
  <si>
    <t>CYNGULAR SAS</t>
  </si>
  <si>
    <t>EXPOR MANIQUIS  DE COLOMBIA SAS</t>
  </si>
  <si>
    <t>GARRIGUES COLOMBIA SAS</t>
  </si>
  <si>
    <t>GESTION CONSULTIVA SAS</t>
  </si>
  <si>
    <t>HERDOIZA CRESPO CONSTRUCCIONES COLOMBIA SAS</t>
  </si>
  <si>
    <t>HERDOIZA CRESPO CONSTRUCCIONES S A SUCURSAL COLOMBIANA</t>
  </si>
  <si>
    <t>HMC CAPITAL COLOMBIA SAS</t>
  </si>
  <si>
    <t>HUMAN PARTNERS SOLUTIONS SAS</t>
  </si>
  <si>
    <t>IBERMAN COLOMBIA SAS</t>
  </si>
  <si>
    <t>INQLAB SAS</t>
  </si>
  <si>
    <t>SHEYNER JIMENEZ</t>
  </si>
  <si>
    <t>FECHA REVISION IMPUESTOS</t>
  </si>
  <si>
    <t>SPN</t>
  </si>
  <si>
    <t>SPJ</t>
  </si>
  <si>
    <t>TMP</t>
  </si>
  <si>
    <t>TPCG</t>
  </si>
  <si>
    <t>OTR</t>
  </si>
  <si>
    <t>COM</t>
  </si>
  <si>
    <t>HNPJ</t>
  </si>
  <si>
    <t>HNPN</t>
  </si>
  <si>
    <t>ARRDPN</t>
  </si>
  <si>
    <t>ARRPJ</t>
  </si>
  <si>
    <t>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</si>
</sst>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24"/>
      <color indexed="9"/>
      <name val="Calibri"/>
      <family val="2"/>
    </font>
    <font>
      <b/>
      <sz val="9"/>
      <color indexed="9"/>
      <name val="Calibri"/>
      <family val="2"/>
    </font>
    <font>
      <b/>
      <sz val="10"/>
      <color indexed="9"/>
      <name val="Calibri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3" fillId="2" borderId="0" xfId="2" applyFont="1" applyFill="1" applyBorder="1" applyAlignment="1" applyProtection="1">
      <alignment vertical="center"/>
    </xf>
    <xf numFmtId="0" fontId="3" fillId="3" borderId="1" xfId="2" applyFont="1" applyFill="1" applyBorder="1" applyAlignment="1" applyProtection="1">
      <alignment vertical="center"/>
    </xf>
    <xf numFmtId="0" fontId="3" fillId="3" borderId="2" xfId="2" applyFont="1" applyFill="1" applyBorder="1" applyAlignment="1" applyProtection="1">
      <alignment vertical="center"/>
    </xf>
    <xf numFmtId="0" fontId="3" fillId="0" borderId="0" xfId="2" applyFont="1" applyFill="1" applyBorder="1" applyAlignment="1" applyProtection="1">
      <alignment vertical="center"/>
    </xf>
    <xf numFmtId="0" fontId="3" fillId="3" borderId="3" xfId="2" applyFont="1" applyFill="1" applyBorder="1" applyAlignment="1" applyProtection="1">
      <alignment vertical="center"/>
    </xf>
    <xf numFmtId="0" fontId="3" fillId="3" borderId="0" xfId="2" applyFont="1" applyFill="1" applyBorder="1" applyAlignment="1" applyProtection="1">
      <alignment vertical="center"/>
    </xf>
    <xf numFmtId="0" fontId="3" fillId="3" borderId="4" xfId="2" applyFont="1" applyFill="1" applyBorder="1" applyAlignment="1" applyProtection="1">
      <alignment vertical="center"/>
    </xf>
    <xf numFmtId="0" fontId="3" fillId="3" borderId="5" xfId="2" applyFont="1" applyFill="1" applyBorder="1" applyAlignment="1" applyProtection="1">
      <alignment vertical="center"/>
    </xf>
    <xf numFmtId="0" fontId="3" fillId="3" borderId="0" xfId="2" applyFont="1" applyFill="1" applyBorder="1" applyAlignment="1" applyProtection="1">
      <alignment horizontal="left" vertical="center" indent="1"/>
    </xf>
    <xf numFmtId="0" fontId="3" fillId="3" borderId="0" xfId="2" applyFont="1" applyFill="1" applyBorder="1" applyAlignment="1" applyProtection="1">
      <alignment horizontal="center" vertical="center"/>
    </xf>
    <xf numFmtId="165" fontId="3" fillId="3" borderId="0" xfId="1" applyNumberFormat="1" applyFont="1" applyFill="1" applyBorder="1" applyAlignment="1" applyProtection="1">
      <alignment vertical="center"/>
    </xf>
    <xf numFmtId="0" fontId="3" fillId="3" borderId="0" xfId="2" applyFont="1" applyFill="1" applyBorder="1" applyAlignment="1" applyProtection="1">
      <alignment horizontal="left" vertical="center"/>
    </xf>
    <xf numFmtId="0" fontId="6" fillId="4" borderId="10" xfId="2" applyFont="1" applyFill="1" applyBorder="1" applyAlignment="1" applyProtection="1">
      <alignment horizontal="center" vertical="center" wrapText="1"/>
    </xf>
    <xf numFmtId="0" fontId="3" fillId="0" borderId="0" xfId="2" applyFont="1" applyFill="1" applyBorder="1" applyAlignment="1" applyProtection="1">
      <alignment horizontal="left" vertical="center"/>
    </xf>
    <xf numFmtId="0" fontId="3" fillId="0" borderId="0" xfId="2" applyFont="1" applyFill="1" applyBorder="1" applyAlignment="1" applyProtection="1">
      <alignment horizontal="center" vertical="center"/>
    </xf>
    <xf numFmtId="0" fontId="3" fillId="0" borderId="0" xfId="2" applyFont="1" applyFill="1" applyBorder="1" applyAlignment="1" applyProtection="1">
      <alignment horizontal="left" vertical="center" indent="1"/>
    </xf>
    <xf numFmtId="165" fontId="3" fillId="0" borderId="0" xfId="1" applyNumberFormat="1" applyFont="1" applyFill="1" applyBorder="1" applyAlignment="1" applyProtection="1">
      <alignment vertical="center"/>
    </xf>
    <xf numFmtId="3" fontId="3" fillId="0" borderId="0" xfId="2" applyNumberFormat="1" applyFont="1" applyFill="1" applyBorder="1" applyAlignment="1" applyProtection="1">
      <alignment vertical="center"/>
    </xf>
    <xf numFmtId="16" fontId="3" fillId="0" borderId="0" xfId="2" applyNumberFormat="1" applyFont="1" applyFill="1" applyBorder="1" applyAlignment="1" applyProtection="1">
      <alignment vertical="center"/>
    </xf>
    <xf numFmtId="165" fontId="3" fillId="0" borderId="0" xfId="1" applyNumberFormat="1" applyFont="1" applyFill="1" applyBorder="1" applyAlignment="1" applyProtection="1">
      <alignment horizontal="center" vertical="center"/>
    </xf>
    <xf numFmtId="0" fontId="3" fillId="0" borderId="0" xfId="2" applyFont="1" applyBorder="1" applyAlignment="1" applyProtection="1">
      <alignment vertical="center"/>
    </xf>
    <xf numFmtId="49" fontId="3" fillId="2" borderId="0" xfId="2" applyNumberFormat="1" applyFont="1" applyFill="1" applyBorder="1" applyAlignment="1" applyProtection="1">
      <alignment horizontal="center" vertical="center"/>
    </xf>
    <xf numFmtId="16" fontId="3" fillId="2" borderId="0" xfId="2" applyNumberFormat="1" applyFont="1" applyFill="1" applyBorder="1" applyAlignment="1" applyProtection="1">
      <alignment horizontal="center" vertical="center"/>
    </xf>
    <xf numFmtId="16" fontId="3" fillId="0" borderId="0" xfId="2" applyNumberFormat="1" applyFont="1" applyFill="1" applyBorder="1" applyAlignment="1" applyProtection="1">
      <alignment horizontal="center" vertical="center"/>
    </xf>
    <xf numFmtId="49" fontId="3" fillId="0" borderId="0" xfId="2" applyNumberFormat="1" applyFont="1" applyFill="1" applyBorder="1" applyAlignment="1" applyProtection="1">
      <alignment horizontal="center" vertical="center"/>
    </xf>
    <xf numFmtId="0" fontId="3" fillId="5" borderId="11" xfId="2" applyFont="1" applyFill="1" applyBorder="1" applyAlignment="1" applyProtection="1">
      <alignment horizontal="center" vertical="center" wrapText="1"/>
      <protection locked="0"/>
    </xf>
    <xf numFmtId="0" fontId="3" fillId="5" borderId="9" xfId="2" applyFont="1" applyFill="1" applyBorder="1" applyAlignment="1" applyProtection="1">
      <alignment horizontal="justify" vertical="center" wrapText="1"/>
      <protection locked="0"/>
    </xf>
    <xf numFmtId="0" fontId="3" fillId="5" borderId="9" xfId="2" applyFont="1" applyFill="1" applyBorder="1" applyAlignment="1" applyProtection="1">
      <alignment horizontal="center" vertical="center" wrapText="1"/>
      <protection locked="0"/>
    </xf>
    <xf numFmtId="0" fontId="3" fillId="5" borderId="9" xfId="2" applyFont="1" applyFill="1" applyBorder="1" applyAlignment="1" applyProtection="1">
      <alignment horizontal="left" vertical="center" wrapText="1"/>
      <protection locked="0"/>
    </xf>
    <xf numFmtId="3" fontId="8" fillId="5" borderId="11" xfId="3" applyNumberFormat="1" applyFont="1" applyFill="1" applyBorder="1" applyAlignment="1" applyProtection="1">
      <alignment horizontal="right" vertical="center" wrapText="1"/>
      <protection locked="0"/>
    </xf>
    <xf numFmtId="3" fontId="8" fillId="5" borderId="11" xfId="2" applyNumberFormat="1" applyFont="1" applyFill="1" applyBorder="1" applyAlignment="1" applyProtection="1">
      <alignment horizontal="right" vertical="center" wrapText="1"/>
    </xf>
    <xf numFmtId="3" fontId="3" fillId="5" borderId="11" xfId="2" applyNumberFormat="1" applyFont="1" applyFill="1" applyBorder="1" applyAlignment="1" applyProtection="1">
      <alignment horizontal="left" vertical="center" wrapText="1"/>
    </xf>
    <xf numFmtId="16" fontId="3" fillId="5" borderId="11" xfId="2" applyNumberFormat="1" applyFont="1" applyFill="1" applyBorder="1" applyAlignment="1" applyProtection="1">
      <alignment horizontal="center" vertical="center" wrapText="1"/>
    </xf>
    <xf numFmtId="0" fontId="3" fillId="5" borderId="9" xfId="2" applyFont="1" applyFill="1" applyBorder="1" applyAlignment="1" applyProtection="1">
      <alignment horizontal="left" vertical="center" wrapText="1"/>
    </xf>
    <xf numFmtId="0" fontId="3" fillId="5" borderId="6" xfId="2" applyFont="1" applyFill="1" applyBorder="1" applyAlignment="1" applyProtection="1">
      <alignment horizontal="left" vertical="center" wrapText="1"/>
    </xf>
    <xf numFmtId="49" fontId="3" fillId="5" borderId="9" xfId="2" applyNumberFormat="1" applyFont="1" applyFill="1" applyBorder="1" applyAlignment="1" applyProtection="1">
      <alignment horizontal="center" vertical="center" wrapText="1"/>
    </xf>
    <xf numFmtId="16" fontId="3" fillId="6" borderId="11" xfId="2" applyNumberFormat="1" applyFont="1" applyFill="1" applyBorder="1" applyAlignment="1" applyProtection="1">
      <alignment horizontal="center" vertical="center" wrapText="1"/>
    </xf>
    <xf numFmtId="0" fontId="3" fillId="2" borderId="0" xfId="2" applyFont="1" applyFill="1" applyBorder="1" applyAlignment="1" applyProtection="1">
      <alignment horizontal="left" vertical="center"/>
    </xf>
    <xf numFmtId="0" fontId="3" fillId="2" borderId="0" xfId="2" applyFont="1" applyFill="1" applyBorder="1" applyAlignment="1" applyProtection="1">
      <alignment horizontal="center" vertical="center"/>
    </xf>
    <xf numFmtId="164" fontId="3" fillId="0" borderId="0" xfId="1" applyNumberFormat="1" applyFont="1" applyFill="1" applyBorder="1" applyAlignment="1" applyProtection="1">
      <alignment vertical="center"/>
    </xf>
    <xf numFmtId="9" fontId="3" fillId="0" borderId="0" xfId="4" applyFont="1" applyFill="1" applyBorder="1" applyAlignment="1" applyProtection="1">
      <alignment vertical="center"/>
    </xf>
    <xf numFmtId="9" fontId="3" fillId="0" borderId="0" xfId="2" applyNumberFormat="1" applyFont="1" applyFill="1" applyBorder="1" applyAlignment="1" applyProtection="1">
      <alignment vertical="center"/>
    </xf>
    <xf numFmtId="165" fontId="3" fillId="0" borderId="0" xfId="2" applyNumberFormat="1" applyFont="1" applyFill="1" applyBorder="1" applyAlignment="1" applyProtection="1">
      <alignment vertical="center"/>
    </xf>
    <xf numFmtId="164" fontId="3" fillId="0" borderId="0" xfId="1" applyFont="1" applyFill="1" applyBorder="1" applyAlignment="1" applyProtection="1">
      <alignment vertical="center"/>
    </xf>
    <xf numFmtId="0" fontId="9" fillId="0" borderId="0" xfId="2" applyFont="1" applyFill="1" applyBorder="1" applyAlignment="1" applyProtection="1">
      <alignment vertical="center"/>
    </xf>
    <xf numFmtId="165" fontId="0" fillId="0" borderId="0" xfId="1" applyNumberFormat="1" applyFont="1"/>
    <xf numFmtId="10" fontId="0" fillId="0" borderId="0" xfId="4" applyNumberFormat="1" applyFont="1"/>
    <xf numFmtId="3" fontId="3" fillId="5" borderId="9" xfId="2" applyNumberFormat="1" applyFont="1" applyFill="1" applyBorder="1" applyAlignment="1" applyProtection="1">
      <alignment horizontal="right" vertical="center" wrapText="1"/>
      <protection locked="0"/>
    </xf>
    <xf numFmtId="0" fontId="4" fillId="4" borderId="2" xfId="2" applyFont="1" applyFill="1" applyBorder="1" applyAlignment="1" applyProtection="1">
      <alignment horizontal="center" vertical="center"/>
    </xf>
    <xf numFmtId="0" fontId="4" fillId="4" borderId="0" xfId="2" applyFont="1" applyFill="1" applyBorder="1" applyAlignment="1" applyProtection="1">
      <alignment horizontal="center" vertical="center"/>
    </xf>
    <xf numFmtId="0" fontId="4" fillId="4" borderId="5" xfId="2" applyFont="1" applyFill="1" applyBorder="1" applyAlignment="1" applyProtection="1">
      <alignment horizontal="center" vertical="center"/>
    </xf>
    <xf numFmtId="0" fontId="5" fillId="4" borderId="6" xfId="2" applyFont="1" applyFill="1" applyBorder="1" applyAlignment="1" applyProtection="1">
      <alignment horizontal="center" vertical="center" wrapText="1"/>
    </xf>
    <xf numFmtId="0" fontId="5" fillId="4" borderId="7" xfId="2" applyFont="1" applyFill="1" applyBorder="1" applyAlignment="1" applyProtection="1">
      <alignment horizontal="center" vertical="center" wrapText="1"/>
    </xf>
    <xf numFmtId="0" fontId="5" fillId="4" borderId="8" xfId="2" applyFont="1" applyFill="1" applyBorder="1" applyAlignment="1" applyProtection="1">
      <alignment horizontal="center" vertical="center" wrapText="1"/>
    </xf>
    <xf numFmtId="0" fontId="6" fillId="4" borderId="9" xfId="2" applyFont="1" applyFill="1" applyBorder="1" applyAlignment="1" applyProtection="1">
      <alignment horizontal="center" vertical="center" wrapText="1"/>
    </xf>
    <xf numFmtId="0" fontId="6" fillId="4" borderId="7" xfId="2" applyFont="1" applyFill="1" applyBorder="1" applyAlignment="1" applyProtection="1">
      <alignment horizontal="center" vertical="center" wrapText="1"/>
    </xf>
    <xf numFmtId="0" fontId="6" fillId="4" borderId="8" xfId="2" applyFont="1" applyFill="1" applyBorder="1" applyAlignment="1" applyProtection="1">
      <alignment horizontal="center" vertical="center" wrapText="1"/>
    </xf>
    <xf numFmtId="49" fontId="6" fillId="4" borderId="9" xfId="2" applyNumberFormat="1" applyFont="1" applyFill="1" applyBorder="1" applyAlignment="1" applyProtection="1">
      <alignment horizontal="center" vertical="center" wrapText="1"/>
    </xf>
    <xf numFmtId="16" fontId="6" fillId="4" borderId="9" xfId="2" applyNumberFormat="1" applyFont="1" applyFill="1" applyBorder="1" applyAlignment="1" applyProtection="1">
      <alignment horizontal="center" vertical="center" wrapText="1"/>
    </xf>
    <xf numFmtId="0" fontId="6" fillId="4" borderId="6" xfId="2" applyFont="1" applyFill="1" applyBorder="1" applyAlignment="1" applyProtection="1">
      <alignment horizontal="center" vertical="center" wrapText="1"/>
    </xf>
  </cellXfs>
  <cellStyles count="5">
    <cellStyle name="Hipervínculo" xfId="3" builtinId="8"/>
    <cellStyle name="Millares" xfId="1" builtinId="3"/>
    <cellStyle name="Normal" xfId="0" builtinId="0"/>
    <cellStyle name="Normal 2" xfId="2"/>
    <cellStyle name="Porcentaje" xfId="4" builtinId="5"/>
  </cellStyles>
  <dxfs count="3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0</xdr:row>
      <xdr:rowOff>28575</xdr:rowOff>
    </xdr:from>
    <xdr:to>
      <xdr:col>2</xdr:col>
      <xdr:colOff>809625</xdr:colOff>
      <xdr:row>2</xdr:row>
      <xdr:rowOff>238125</xdr:rowOff>
    </xdr:to>
    <xdr:pic>
      <xdr:nvPicPr>
        <xdr:cNvPr id="2" name="Picture 2" descr="TMFlogo_square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8575"/>
          <a:ext cx="9715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238125</xdr:colOff>
      <xdr:row>0</xdr:row>
      <xdr:rowOff>28575</xdr:rowOff>
    </xdr:from>
    <xdr:to>
      <xdr:col>2</xdr:col>
      <xdr:colOff>809625</xdr:colOff>
      <xdr:row>2</xdr:row>
      <xdr:rowOff>238125</xdr:rowOff>
    </xdr:to>
    <xdr:pic>
      <xdr:nvPicPr>
        <xdr:cNvPr id="3" name="Picture 2" descr="TMFlogo_square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8575"/>
          <a:ext cx="9715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238125</xdr:colOff>
      <xdr:row>0</xdr:row>
      <xdr:rowOff>28575</xdr:rowOff>
    </xdr:from>
    <xdr:to>
      <xdr:col>2</xdr:col>
      <xdr:colOff>809625</xdr:colOff>
      <xdr:row>2</xdr:row>
      <xdr:rowOff>238125</xdr:rowOff>
    </xdr:to>
    <xdr:pic>
      <xdr:nvPicPr>
        <xdr:cNvPr id="4" name="Picture 2" descr="TMFlogo_square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8575"/>
          <a:ext cx="9715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%20CRONOGRAMA%20ANUAL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as natur"/>
      <sheetName val="BASE"/>
      <sheetName val="IVA"/>
      <sheetName val="Retefte"/>
      <sheetName val="Retecree"/>
      <sheetName val="Cree"/>
      <sheetName val="Distritales Bogota"/>
      <sheetName val="Distritales Municipios"/>
      <sheetName val="Renta"/>
      <sheetName val="Riqueza"/>
      <sheetName val="Medios Nacionales"/>
      <sheetName val="Medios Distritales"/>
      <sheetName val="Precios de Transferencia"/>
      <sheetName val="Supersociedades"/>
      <sheetName val="Gran Contribuyentes"/>
    </sheetNames>
    <sheetDataSet>
      <sheetData sheetId="0"/>
      <sheetData sheetId="1"/>
      <sheetData sheetId="2">
        <row r="1">
          <cell r="B1" t="str">
            <v>N.I.T.</v>
          </cell>
          <cell r="C1" t="str">
            <v>CLIENTE</v>
          </cell>
          <cell r="D1" t="str">
            <v>ULT DIG</v>
          </cell>
          <cell r="E1" t="str">
            <v>DOS ULT DIG</v>
          </cell>
          <cell r="F1" t="str">
            <v>SENIOR ENCARGADO</v>
          </cell>
          <cell r="G1" t="str">
            <v>INGRESOS 2014</v>
          </cell>
          <cell r="H1" t="str">
            <v>INGRESOS EN UVT</v>
          </cell>
          <cell r="I1" t="str">
            <v>REVISOR FISCAL</v>
          </cell>
          <cell r="J1" t="str">
            <v>PERIODO IVA (ANTICIPOS EN MAYO Y EN SEPTIEMBRE)</v>
          </cell>
          <cell r="K1" t="str">
            <v>DECLARACIÓN Y PAGO DEL IMPUESTO SOBRE LAS VENTAS</v>
          </cell>
        </row>
        <row r="2">
          <cell r="K2" t="str">
            <v>ENE - FEB</v>
          </cell>
          <cell r="L2" t="str">
            <v>MAR - ABR
1er Ant.</v>
          </cell>
          <cell r="M2" t="str">
            <v>MAY - JUN</v>
          </cell>
          <cell r="N2" t="str">
            <v>JUL - AGO
2do Ant.</v>
          </cell>
          <cell r="O2" t="str">
            <v>SEP - OCT</v>
          </cell>
          <cell r="P2" t="str">
            <v>NOV - DIC
Anual</v>
          </cell>
        </row>
        <row r="3">
          <cell r="B3">
            <v>900434102</v>
          </cell>
          <cell r="C3" t="str">
            <v>AIRLOGISTIX SAS</v>
          </cell>
          <cell r="D3" t="str">
            <v>2</v>
          </cell>
          <cell r="E3" t="str">
            <v>02</v>
          </cell>
          <cell r="F3" t="str">
            <v>SHEYNER JIMENEZ</v>
          </cell>
          <cell r="G3">
            <v>907842000</v>
          </cell>
          <cell r="H3">
            <v>33030</v>
          </cell>
          <cell r="I3" t="str">
            <v>NO</v>
          </cell>
          <cell r="J3" t="str">
            <v>CUATRIMESTRAL</v>
          </cell>
          <cell r="K3" t="str">
            <v>No aplica</v>
          </cell>
          <cell r="L3">
            <v>42137</v>
          </cell>
          <cell r="M3" t="str">
            <v>No aplica</v>
          </cell>
          <cell r="N3">
            <v>42256</v>
          </cell>
          <cell r="O3" t="str">
            <v>No aplica</v>
          </cell>
          <cell r="P3">
            <v>42383</v>
          </cell>
        </row>
        <row r="4">
          <cell r="B4">
            <v>900656604</v>
          </cell>
          <cell r="C4" t="str">
            <v>ASTRIS FINANCE COLOMBIA SAS</v>
          </cell>
          <cell r="D4" t="str">
            <v>4</v>
          </cell>
          <cell r="E4" t="str">
            <v>04</v>
          </cell>
          <cell r="F4" t="str">
            <v>SHEYNER JIMENEZ</v>
          </cell>
          <cell r="G4">
            <v>439517000</v>
          </cell>
          <cell r="H4">
            <v>15991</v>
          </cell>
          <cell r="I4" t="str">
            <v>NO</v>
          </cell>
          <cell r="J4" t="str">
            <v>CUATRIMESTRAL</v>
          </cell>
          <cell r="K4" t="str">
            <v>No aplica</v>
          </cell>
          <cell r="L4">
            <v>42139</v>
          </cell>
          <cell r="M4" t="str">
            <v>No aplica</v>
          </cell>
          <cell r="N4">
            <v>42258</v>
          </cell>
          <cell r="O4" t="str">
            <v>No aplica</v>
          </cell>
          <cell r="P4">
            <v>42387</v>
          </cell>
        </row>
        <row r="5">
          <cell r="B5">
            <v>900638619</v>
          </cell>
          <cell r="C5" t="str">
            <v>BOUYGUES CONSTRUCCIONES COLOMBA SAS</v>
          </cell>
          <cell r="D5" t="str">
            <v>9</v>
          </cell>
          <cell r="E5" t="str">
            <v>19</v>
          </cell>
          <cell r="F5" t="str">
            <v>SHEYNER JIMENEZ</v>
          </cell>
          <cell r="G5">
            <v>13093000</v>
          </cell>
          <cell r="H5">
            <v>476</v>
          </cell>
          <cell r="I5" t="str">
            <v>NO</v>
          </cell>
          <cell r="J5" t="str">
            <v>ANUAL</v>
          </cell>
          <cell r="K5" t="str">
            <v>No aplica</v>
          </cell>
          <cell r="L5">
            <v>42149</v>
          </cell>
          <cell r="M5" t="str">
            <v>No aplica</v>
          </cell>
          <cell r="N5">
            <v>42265</v>
          </cell>
          <cell r="O5" t="str">
            <v>No aplica</v>
          </cell>
          <cell r="P5">
            <v>42394</v>
          </cell>
        </row>
        <row r="6">
          <cell r="B6">
            <v>900665688</v>
          </cell>
          <cell r="C6" t="str">
            <v>BPO GESTORIA SAS</v>
          </cell>
          <cell r="D6" t="str">
            <v>8</v>
          </cell>
          <cell r="E6" t="str">
            <v>88</v>
          </cell>
          <cell r="F6" t="str">
            <v>SHEYNER JIMENEZ</v>
          </cell>
          <cell r="G6">
            <v>1355340000</v>
          </cell>
          <cell r="H6">
            <v>49312</v>
          </cell>
          <cell r="I6" t="str">
            <v>NO</v>
          </cell>
          <cell r="J6" t="str">
            <v>CUATRIMESTRAL</v>
          </cell>
          <cell r="K6" t="str">
            <v>No aplica</v>
          </cell>
          <cell r="L6">
            <v>42146</v>
          </cell>
          <cell r="M6" t="str">
            <v>No aplica</v>
          </cell>
          <cell r="N6">
            <v>42264</v>
          </cell>
          <cell r="O6" t="str">
            <v>No aplica</v>
          </cell>
          <cell r="P6">
            <v>42391</v>
          </cell>
        </row>
        <row r="7">
          <cell r="B7">
            <v>900598697</v>
          </cell>
          <cell r="C7" t="str">
            <v>BPO SAS</v>
          </cell>
          <cell r="D7" t="str">
            <v>7</v>
          </cell>
          <cell r="E7" t="str">
            <v>97</v>
          </cell>
          <cell r="F7" t="str">
            <v>SHEYNER JIMENEZ</v>
          </cell>
          <cell r="G7">
            <v>837487000</v>
          </cell>
          <cell r="H7">
            <v>30471</v>
          </cell>
          <cell r="I7" t="str">
            <v>NO</v>
          </cell>
          <cell r="J7" t="str">
            <v>CUATRIMESTRAL</v>
          </cell>
          <cell r="K7" t="str">
            <v>No aplica</v>
          </cell>
          <cell r="L7">
            <v>42145</v>
          </cell>
          <cell r="M7" t="str">
            <v>No aplica</v>
          </cell>
          <cell r="N7">
            <v>42263</v>
          </cell>
          <cell r="O7" t="str">
            <v>No aplica</v>
          </cell>
          <cell r="P7">
            <v>42390</v>
          </cell>
        </row>
        <row r="8">
          <cell r="B8">
            <v>900574069</v>
          </cell>
          <cell r="C8" t="str">
            <v>CELCITE COLOMBIA S.A.S EN LIQUIDACION</v>
          </cell>
          <cell r="D8" t="str">
            <v>9</v>
          </cell>
          <cell r="E8" t="str">
            <v>69</v>
          </cell>
          <cell r="F8" t="str">
            <v>SHEYNER JIMENEZ</v>
          </cell>
          <cell r="G8">
            <v>0</v>
          </cell>
          <cell r="H8">
            <v>0</v>
          </cell>
          <cell r="I8" t="str">
            <v>NO</v>
          </cell>
          <cell r="J8" t="str">
            <v>ANUAL</v>
          </cell>
          <cell r="K8" t="str">
            <v>No aplica</v>
          </cell>
          <cell r="L8">
            <v>42149</v>
          </cell>
          <cell r="M8" t="str">
            <v>No aplica</v>
          </cell>
          <cell r="N8">
            <v>42265</v>
          </cell>
          <cell r="O8" t="str">
            <v>No aplica</v>
          </cell>
          <cell r="P8">
            <v>42394</v>
          </cell>
        </row>
        <row r="9">
          <cell r="B9">
            <v>900777451</v>
          </cell>
          <cell r="C9" t="str">
            <v xml:space="preserve">CHARIOT &amp; CASTLE </v>
          </cell>
          <cell r="D9" t="str">
            <v>1</v>
          </cell>
          <cell r="E9" t="str">
            <v>51</v>
          </cell>
          <cell r="F9" t="str">
            <v>SHEYNER JIMENEZ</v>
          </cell>
          <cell r="G9">
            <v>0</v>
          </cell>
          <cell r="H9">
            <v>0</v>
          </cell>
          <cell r="I9" t="str">
            <v>NO</v>
          </cell>
          <cell r="J9" t="str">
            <v>ANUAL</v>
          </cell>
          <cell r="K9" t="str">
            <v>No aplica</v>
          </cell>
          <cell r="L9">
            <v>42136</v>
          </cell>
          <cell r="M9" t="str">
            <v>No aplica</v>
          </cell>
          <cell r="N9">
            <v>42255</v>
          </cell>
          <cell r="O9" t="str">
            <v>No aplica</v>
          </cell>
          <cell r="P9">
            <v>42382</v>
          </cell>
        </row>
        <row r="10">
          <cell r="B10">
            <v>900756462</v>
          </cell>
          <cell r="C10" t="str">
            <v>CHICPLACE COLOMBIA SAS</v>
          </cell>
          <cell r="D10" t="str">
            <v>2</v>
          </cell>
          <cell r="E10" t="str">
            <v>62</v>
          </cell>
          <cell r="F10" t="str">
            <v>SHEYNER JIMENEZ</v>
          </cell>
          <cell r="G10">
            <v>21997000</v>
          </cell>
          <cell r="H10">
            <v>800</v>
          </cell>
          <cell r="I10" t="str">
            <v>NO</v>
          </cell>
          <cell r="J10" t="str">
            <v>ANUAL</v>
          </cell>
          <cell r="K10" t="str">
            <v>No aplica</v>
          </cell>
          <cell r="L10">
            <v>42137</v>
          </cell>
          <cell r="M10" t="str">
            <v>No aplica</v>
          </cell>
          <cell r="N10">
            <v>42256</v>
          </cell>
          <cell r="O10" t="str">
            <v>No aplica</v>
          </cell>
          <cell r="P10">
            <v>42383</v>
          </cell>
        </row>
        <row r="11">
          <cell r="B11">
            <v>900593581</v>
          </cell>
          <cell r="C11" t="str">
            <v>CLEARFORD COLOMBIA  HOLDING SAS</v>
          </cell>
          <cell r="D11" t="str">
            <v>1</v>
          </cell>
          <cell r="E11" t="str">
            <v>81</v>
          </cell>
          <cell r="F11" t="str">
            <v>SHEYNER JIMENEZ</v>
          </cell>
          <cell r="G11">
            <v>167114000</v>
          </cell>
          <cell r="H11">
            <v>6080</v>
          </cell>
          <cell r="I11" t="str">
            <v>NO</v>
          </cell>
          <cell r="J11" t="str">
            <v>ANUAL</v>
          </cell>
          <cell r="K11" t="str">
            <v>No aplica</v>
          </cell>
          <cell r="L11">
            <v>42136</v>
          </cell>
          <cell r="M11" t="str">
            <v>No aplica</v>
          </cell>
          <cell r="N11">
            <v>42255</v>
          </cell>
          <cell r="O11" t="str">
            <v>No aplica</v>
          </cell>
          <cell r="P11">
            <v>42382</v>
          </cell>
        </row>
        <row r="12">
          <cell r="B12">
            <v>900570069</v>
          </cell>
          <cell r="C12" t="str">
            <v>CLEARFORD INDUSTRIES COLOMBIA S.A.S</v>
          </cell>
          <cell r="D12" t="str">
            <v>9</v>
          </cell>
          <cell r="E12" t="str">
            <v>69</v>
          </cell>
          <cell r="F12" t="str">
            <v>SHEYNER JIMENEZ</v>
          </cell>
          <cell r="G12">
            <v>802923000</v>
          </cell>
          <cell r="H12">
            <v>29213</v>
          </cell>
          <cell r="I12" t="str">
            <v>NO</v>
          </cell>
          <cell r="J12" t="str">
            <v>CUATRIMESTRAL</v>
          </cell>
          <cell r="K12" t="str">
            <v>No aplica</v>
          </cell>
          <cell r="L12">
            <v>42149</v>
          </cell>
          <cell r="M12" t="str">
            <v>No aplica</v>
          </cell>
          <cell r="N12">
            <v>42265</v>
          </cell>
          <cell r="O12" t="str">
            <v>No aplica</v>
          </cell>
          <cell r="P12">
            <v>42394</v>
          </cell>
        </row>
        <row r="13">
          <cell r="B13">
            <v>900493030</v>
          </cell>
          <cell r="C13" t="str">
            <v>CYNGULAR SAS</v>
          </cell>
          <cell r="D13" t="str">
            <v>0</v>
          </cell>
          <cell r="E13" t="str">
            <v>30</v>
          </cell>
          <cell r="F13" t="str">
            <v>SHEYNER JIMENEZ</v>
          </cell>
          <cell r="G13">
            <v>0</v>
          </cell>
          <cell r="H13">
            <v>0</v>
          </cell>
          <cell r="I13" t="str">
            <v>NO</v>
          </cell>
          <cell r="J13" t="str">
            <v>ANUAL</v>
          </cell>
          <cell r="K13" t="str">
            <v>No aplica</v>
          </cell>
          <cell r="L13">
            <v>42150</v>
          </cell>
          <cell r="M13" t="str">
            <v>No aplica</v>
          </cell>
          <cell r="N13">
            <v>42268</v>
          </cell>
          <cell r="O13" t="str">
            <v>No aplica</v>
          </cell>
          <cell r="P13">
            <v>42395</v>
          </cell>
        </row>
        <row r="14">
          <cell r="B14">
            <v>900633463</v>
          </cell>
          <cell r="C14" t="str">
            <v>EXPOR MANIQUIS  DE COLOMBIA SAS</v>
          </cell>
          <cell r="D14" t="str">
            <v>3</v>
          </cell>
          <cell r="E14" t="str">
            <v>63</v>
          </cell>
          <cell r="F14" t="str">
            <v>SHEYNER JIMENEZ</v>
          </cell>
          <cell r="G14">
            <v>912487000</v>
          </cell>
          <cell r="H14">
            <v>33199</v>
          </cell>
          <cell r="I14" t="str">
            <v>NO</v>
          </cell>
          <cell r="J14" t="str">
            <v>CUATRIMESTRAL</v>
          </cell>
          <cell r="K14" t="str">
            <v>No aplica</v>
          </cell>
          <cell r="L14">
            <v>42138</v>
          </cell>
          <cell r="M14" t="str">
            <v>No aplica</v>
          </cell>
          <cell r="N14">
            <v>42257</v>
          </cell>
          <cell r="O14" t="str">
            <v>No aplica</v>
          </cell>
          <cell r="P14">
            <v>42384</v>
          </cell>
        </row>
        <row r="15">
          <cell r="B15">
            <v>900609342</v>
          </cell>
          <cell r="C15" t="str">
            <v>GARRIGUES COLOMBIA SAS</v>
          </cell>
          <cell r="D15" t="str">
            <v>2</v>
          </cell>
          <cell r="E15" t="str">
            <v>42</v>
          </cell>
          <cell r="F15" t="str">
            <v>SHEYNER JIMENEZ</v>
          </cell>
          <cell r="G15">
            <v>6081992000</v>
          </cell>
          <cell r="H15">
            <v>221284</v>
          </cell>
          <cell r="I15" t="str">
            <v>SI</v>
          </cell>
          <cell r="J15" t="str">
            <v>BIMESTRAL</v>
          </cell>
          <cell r="K15">
            <v>42074</v>
          </cell>
          <cell r="L15">
            <v>42137</v>
          </cell>
          <cell r="M15">
            <v>42194</v>
          </cell>
          <cell r="N15">
            <v>42256</v>
          </cell>
          <cell r="O15">
            <v>42319</v>
          </cell>
          <cell r="P15">
            <v>42383</v>
          </cell>
        </row>
        <row r="16">
          <cell r="B16">
            <v>900805606</v>
          </cell>
          <cell r="C16" t="str">
            <v>GESTION CONSULTIVA SAS</v>
          </cell>
          <cell r="D16" t="str">
            <v>6</v>
          </cell>
          <cell r="E16" t="str">
            <v>06</v>
          </cell>
          <cell r="F16" t="str">
            <v>SHEYNER JIMENEZ</v>
          </cell>
          <cell r="G16">
            <v>0</v>
          </cell>
          <cell r="H16">
            <v>0</v>
          </cell>
          <cell r="I16" t="str">
            <v>NO</v>
          </cell>
          <cell r="J16" t="str">
            <v>ANUAL</v>
          </cell>
          <cell r="K16" t="str">
            <v>No aplica</v>
          </cell>
          <cell r="L16">
            <v>42144</v>
          </cell>
          <cell r="M16" t="str">
            <v>No aplica</v>
          </cell>
          <cell r="N16">
            <v>42262</v>
          </cell>
          <cell r="O16" t="str">
            <v>No aplica</v>
          </cell>
          <cell r="P16">
            <v>42389</v>
          </cell>
        </row>
        <row r="17">
          <cell r="B17">
            <v>900815680</v>
          </cell>
          <cell r="C17" t="str">
            <v>HERDOIZA CRESPO CONSTRUCCIONES COLOMBIA SAS</v>
          </cell>
          <cell r="D17" t="str">
            <v>0</v>
          </cell>
          <cell r="E17" t="str">
            <v>80</v>
          </cell>
          <cell r="F17" t="str">
            <v>SHEYNER JIMENEZ</v>
          </cell>
          <cell r="G17">
            <v>0</v>
          </cell>
          <cell r="H17">
            <v>0</v>
          </cell>
          <cell r="I17" t="str">
            <v>NO</v>
          </cell>
          <cell r="J17" t="str">
            <v>BIMESTRAL</v>
          </cell>
          <cell r="K17">
            <v>42087</v>
          </cell>
          <cell r="L17">
            <v>42150</v>
          </cell>
          <cell r="M17">
            <v>42207</v>
          </cell>
          <cell r="N17">
            <v>42268</v>
          </cell>
          <cell r="O17">
            <v>42332</v>
          </cell>
          <cell r="P17">
            <v>42395</v>
          </cell>
        </row>
        <row r="18">
          <cell r="B18">
            <v>900815676</v>
          </cell>
          <cell r="C18" t="str">
            <v>HERDOIZA CRESPO CONSTRUCCIONES S A SUCURSAL COLOMBIANA</v>
          </cell>
          <cell r="D18" t="str">
            <v>6</v>
          </cell>
          <cell r="E18" t="str">
            <v>76</v>
          </cell>
          <cell r="F18" t="str">
            <v>SHEYNER JIMENEZ</v>
          </cell>
          <cell r="G18">
            <v>0</v>
          </cell>
          <cell r="H18">
            <v>0</v>
          </cell>
          <cell r="I18" t="str">
            <v>NO</v>
          </cell>
          <cell r="J18" t="str">
            <v>ANUAL</v>
          </cell>
          <cell r="K18" t="str">
            <v>No aplica</v>
          </cell>
          <cell r="L18">
            <v>42144</v>
          </cell>
          <cell r="M18" t="str">
            <v>No aplica</v>
          </cell>
          <cell r="N18">
            <v>42262</v>
          </cell>
          <cell r="O18" t="str">
            <v>No aplica</v>
          </cell>
          <cell r="P18">
            <v>42389</v>
          </cell>
        </row>
        <row r="19">
          <cell r="B19">
            <v>900824129</v>
          </cell>
          <cell r="C19" t="str">
            <v>HMC CAPITAL COLOMBIA SAS</v>
          </cell>
          <cell r="D19" t="str">
            <v>9</v>
          </cell>
          <cell r="E19" t="str">
            <v>29</v>
          </cell>
          <cell r="F19" t="str">
            <v>SHEYNER JIMENEZ</v>
          </cell>
          <cell r="G19">
            <v>0</v>
          </cell>
          <cell r="H19">
            <v>0</v>
          </cell>
          <cell r="I19" t="str">
            <v>NO</v>
          </cell>
          <cell r="J19" t="str">
            <v>ANUAL</v>
          </cell>
          <cell r="K19" t="str">
            <v>No aplica</v>
          </cell>
          <cell r="L19">
            <v>42149</v>
          </cell>
          <cell r="M19" t="str">
            <v>No aplica</v>
          </cell>
          <cell r="N19">
            <v>42265</v>
          </cell>
          <cell r="O19" t="str">
            <v>No aplica</v>
          </cell>
          <cell r="P19">
            <v>42394</v>
          </cell>
        </row>
        <row r="20">
          <cell r="B20">
            <v>900545664</v>
          </cell>
          <cell r="C20" t="str">
            <v>HUMAN PARTNERS SOLUTIONS SAS</v>
          </cell>
          <cell r="D20" t="str">
            <v>4</v>
          </cell>
          <cell r="E20" t="str">
            <v>64</v>
          </cell>
          <cell r="F20" t="str">
            <v>SHEYNER JIMENEZ</v>
          </cell>
          <cell r="G20">
            <v>207309000</v>
          </cell>
          <cell r="H20">
            <v>7543</v>
          </cell>
          <cell r="I20" t="str">
            <v>NO</v>
          </cell>
          <cell r="J20" t="str">
            <v>ANUAL</v>
          </cell>
          <cell r="K20" t="str">
            <v>No aplica</v>
          </cell>
          <cell r="L20">
            <v>42139</v>
          </cell>
          <cell r="M20" t="str">
            <v>No aplica</v>
          </cell>
          <cell r="N20">
            <v>42258</v>
          </cell>
          <cell r="O20" t="str">
            <v>No aplica</v>
          </cell>
          <cell r="P20">
            <v>42387</v>
          </cell>
        </row>
        <row r="21">
          <cell r="B21">
            <v>900700298</v>
          </cell>
          <cell r="C21" t="str">
            <v>IBERMAN COLOMBIA SAS</v>
          </cell>
          <cell r="D21" t="str">
            <v>8</v>
          </cell>
          <cell r="E21" t="str">
            <v>98</v>
          </cell>
          <cell r="F21" t="str">
            <v>SHEYNER JIMENEZ</v>
          </cell>
          <cell r="G21">
            <v>5000</v>
          </cell>
          <cell r="H21">
            <v>0</v>
          </cell>
          <cell r="I21" t="str">
            <v>NO</v>
          </cell>
          <cell r="J21" t="str">
            <v>ANUAL</v>
          </cell>
          <cell r="K21" t="str">
            <v>No aplica</v>
          </cell>
          <cell r="L21">
            <v>42146</v>
          </cell>
          <cell r="M21" t="str">
            <v>No aplica</v>
          </cell>
          <cell r="N21">
            <v>42264</v>
          </cell>
          <cell r="O21" t="str">
            <v>No aplica</v>
          </cell>
          <cell r="P21">
            <v>42391</v>
          </cell>
        </row>
        <row r="22">
          <cell r="B22">
            <v>900633093</v>
          </cell>
          <cell r="C22" t="str">
            <v>INQLAB SAS</v>
          </cell>
          <cell r="D22" t="str">
            <v>3</v>
          </cell>
          <cell r="E22" t="str">
            <v>93</v>
          </cell>
          <cell r="F22" t="str">
            <v>SHEYNER JIMENEZ</v>
          </cell>
          <cell r="G22">
            <v>1603444000</v>
          </cell>
          <cell r="H22">
            <v>58339</v>
          </cell>
          <cell r="I22" t="str">
            <v>NO</v>
          </cell>
          <cell r="J22" t="str">
            <v>CUATRIMESTRAL</v>
          </cell>
          <cell r="K22" t="str">
            <v>No aplica</v>
          </cell>
          <cell r="L22">
            <v>42138</v>
          </cell>
          <cell r="M22" t="str">
            <v>No aplica</v>
          </cell>
          <cell r="N22">
            <v>42257</v>
          </cell>
          <cell r="O22" t="str">
            <v>No aplica</v>
          </cell>
          <cell r="P22">
            <v>42384</v>
          </cell>
        </row>
      </sheetData>
      <sheetData sheetId="3">
        <row r="1">
          <cell r="B1" t="str">
            <v>N.I.T.</v>
          </cell>
          <cell r="C1" t="str">
            <v>CLIENTE</v>
          </cell>
          <cell r="D1" t="str">
            <v>ULT DIG</v>
          </cell>
          <cell r="E1" t="str">
            <v>SENIOR ENCARGADO</v>
          </cell>
          <cell r="F1" t="str">
            <v>DECLARACIÓN MENSUAL DE RETENCIONES EN LA FUENTE.</v>
          </cell>
        </row>
        <row r="2">
          <cell r="F2" t="str">
            <v>ENERO</v>
          </cell>
          <cell r="G2" t="str">
            <v>FEBRERO</v>
          </cell>
          <cell r="H2" t="str">
            <v>MARZO</v>
          </cell>
          <cell r="I2" t="str">
            <v>ABRIL</v>
          </cell>
          <cell r="J2" t="str">
            <v>MAYO</v>
          </cell>
          <cell r="K2" t="str">
            <v>JUNIO</v>
          </cell>
          <cell r="L2" t="str">
            <v>JULIO</v>
          </cell>
          <cell r="M2" t="str">
            <v>AGOSTO</v>
          </cell>
          <cell r="N2" t="str">
            <v>SEPTIEMBRE</v>
          </cell>
          <cell r="O2" t="str">
            <v>OCTUBRE</v>
          </cell>
          <cell r="P2" t="str">
            <v>NOVIEMBRE</v>
          </cell>
          <cell r="Q2" t="str">
            <v>DICIEMBRE</v>
          </cell>
        </row>
        <row r="3">
          <cell r="B3">
            <v>900434102</v>
          </cell>
          <cell r="C3" t="str">
            <v>AIRLOGISTIX SAS</v>
          </cell>
          <cell r="D3" t="str">
            <v>2</v>
          </cell>
          <cell r="E3" t="str">
            <v>SHEYNER JIMENEZ</v>
          </cell>
          <cell r="F3">
            <v>42046</v>
          </cell>
          <cell r="G3">
            <v>42074</v>
          </cell>
          <cell r="H3">
            <v>42109</v>
          </cell>
          <cell r="I3">
            <v>42137</v>
          </cell>
          <cell r="J3">
            <v>42166</v>
          </cell>
          <cell r="K3">
            <v>42194</v>
          </cell>
          <cell r="L3">
            <v>42228</v>
          </cell>
          <cell r="M3">
            <v>42256</v>
          </cell>
          <cell r="N3">
            <v>42286</v>
          </cell>
          <cell r="O3">
            <v>42319</v>
          </cell>
          <cell r="P3">
            <v>42348</v>
          </cell>
          <cell r="Q3">
            <v>42383</v>
          </cell>
        </row>
        <row r="4">
          <cell r="B4">
            <v>900656604</v>
          </cell>
          <cell r="C4" t="str">
            <v>ASTRIS FINANCE COLOMBIA SAS</v>
          </cell>
          <cell r="D4" t="str">
            <v>4</v>
          </cell>
          <cell r="E4" t="str">
            <v>SHEYNER JIMENEZ</v>
          </cell>
          <cell r="F4">
            <v>42048</v>
          </cell>
          <cell r="G4">
            <v>42076</v>
          </cell>
          <cell r="H4">
            <v>42111</v>
          </cell>
          <cell r="I4">
            <v>42139</v>
          </cell>
          <cell r="J4">
            <v>42171</v>
          </cell>
          <cell r="K4">
            <v>42198</v>
          </cell>
          <cell r="L4">
            <v>42230</v>
          </cell>
          <cell r="M4">
            <v>42258</v>
          </cell>
          <cell r="N4">
            <v>42291</v>
          </cell>
          <cell r="O4">
            <v>42321</v>
          </cell>
          <cell r="P4">
            <v>42352</v>
          </cell>
          <cell r="Q4">
            <v>42387</v>
          </cell>
        </row>
        <row r="5">
          <cell r="B5">
            <v>900638619</v>
          </cell>
          <cell r="C5" t="str">
            <v>BOUYGUES CONSTRUCCIONES COLOMBA SAS</v>
          </cell>
          <cell r="D5" t="str">
            <v>9</v>
          </cell>
          <cell r="E5" t="str">
            <v>SHEYNER JIMENEZ</v>
          </cell>
          <cell r="F5">
            <v>42055</v>
          </cell>
          <cell r="G5">
            <v>42083</v>
          </cell>
          <cell r="H5">
            <v>42118</v>
          </cell>
          <cell r="I5">
            <v>42149</v>
          </cell>
          <cell r="J5">
            <v>42178</v>
          </cell>
          <cell r="K5">
            <v>42206</v>
          </cell>
          <cell r="L5">
            <v>42240</v>
          </cell>
          <cell r="M5">
            <v>42265</v>
          </cell>
          <cell r="N5">
            <v>42298</v>
          </cell>
          <cell r="O5">
            <v>42331</v>
          </cell>
          <cell r="P5">
            <v>42359</v>
          </cell>
          <cell r="Q5">
            <v>42394</v>
          </cell>
        </row>
        <row r="6">
          <cell r="B6">
            <v>900665688</v>
          </cell>
          <cell r="C6" t="str">
            <v>BPO GESTORIA SAS</v>
          </cell>
          <cell r="D6" t="str">
            <v>8</v>
          </cell>
          <cell r="E6" t="str">
            <v>SHEYNER JIMENEZ</v>
          </cell>
          <cell r="F6">
            <v>42054</v>
          </cell>
          <cell r="G6">
            <v>42082</v>
          </cell>
          <cell r="H6">
            <v>42117</v>
          </cell>
          <cell r="I6">
            <v>42146</v>
          </cell>
          <cell r="J6">
            <v>42177</v>
          </cell>
          <cell r="K6">
            <v>42202</v>
          </cell>
          <cell r="L6">
            <v>42237</v>
          </cell>
          <cell r="M6">
            <v>42264</v>
          </cell>
          <cell r="N6">
            <v>42297</v>
          </cell>
          <cell r="O6">
            <v>42328</v>
          </cell>
          <cell r="P6">
            <v>42356</v>
          </cell>
          <cell r="Q6">
            <v>42391</v>
          </cell>
        </row>
        <row r="7">
          <cell r="B7">
            <v>900598697</v>
          </cell>
          <cell r="C7" t="str">
            <v>BPO SAS</v>
          </cell>
          <cell r="D7" t="str">
            <v>7</v>
          </cell>
          <cell r="E7" t="str">
            <v>SHEYNER JIMENEZ</v>
          </cell>
          <cell r="F7">
            <v>42053</v>
          </cell>
          <cell r="G7">
            <v>42081</v>
          </cell>
          <cell r="H7">
            <v>42116</v>
          </cell>
          <cell r="I7">
            <v>42145</v>
          </cell>
          <cell r="J7">
            <v>42174</v>
          </cell>
          <cell r="K7">
            <v>42201</v>
          </cell>
          <cell r="L7">
            <v>42236</v>
          </cell>
          <cell r="M7">
            <v>42263</v>
          </cell>
          <cell r="N7">
            <v>42296</v>
          </cell>
          <cell r="O7">
            <v>42327</v>
          </cell>
          <cell r="P7">
            <v>42355</v>
          </cell>
          <cell r="Q7">
            <v>42390</v>
          </cell>
        </row>
        <row r="8">
          <cell r="B8">
            <v>900574069</v>
          </cell>
          <cell r="C8" t="str">
            <v>CELCITE COLOMBIA S.A.S EN LIQUIDACION</v>
          </cell>
          <cell r="D8" t="str">
            <v>9</v>
          </cell>
          <cell r="E8" t="str">
            <v>SHEYNER JIMENEZ</v>
          </cell>
          <cell r="F8">
            <v>42055</v>
          </cell>
          <cell r="G8">
            <v>42083</v>
          </cell>
          <cell r="H8">
            <v>42118</v>
          </cell>
          <cell r="I8">
            <v>42149</v>
          </cell>
          <cell r="J8">
            <v>42178</v>
          </cell>
          <cell r="K8">
            <v>42206</v>
          </cell>
          <cell r="L8">
            <v>42240</v>
          </cell>
          <cell r="M8">
            <v>42265</v>
          </cell>
          <cell r="N8">
            <v>42298</v>
          </cell>
          <cell r="O8">
            <v>42331</v>
          </cell>
          <cell r="P8">
            <v>42359</v>
          </cell>
          <cell r="Q8">
            <v>42394</v>
          </cell>
        </row>
        <row r="9">
          <cell r="B9">
            <v>900777451</v>
          </cell>
          <cell r="C9" t="str">
            <v xml:space="preserve">CHARIOT &amp; CASTLE </v>
          </cell>
          <cell r="D9" t="str">
            <v>1</v>
          </cell>
          <cell r="E9" t="str">
            <v>SHEYNER JIMENEZ</v>
          </cell>
          <cell r="F9">
            <v>42045</v>
          </cell>
          <cell r="G9">
            <v>42073</v>
          </cell>
          <cell r="H9">
            <v>42108</v>
          </cell>
          <cell r="I9">
            <v>42136</v>
          </cell>
          <cell r="J9">
            <v>42165</v>
          </cell>
          <cell r="K9">
            <v>42193</v>
          </cell>
          <cell r="L9">
            <v>42227</v>
          </cell>
          <cell r="M9">
            <v>42255</v>
          </cell>
          <cell r="N9">
            <v>42285</v>
          </cell>
          <cell r="O9">
            <v>42318</v>
          </cell>
          <cell r="P9">
            <v>42347</v>
          </cell>
          <cell r="Q9">
            <v>42382</v>
          </cell>
        </row>
        <row r="10">
          <cell r="B10">
            <v>900756462</v>
          </cell>
          <cell r="C10" t="str">
            <v>CHICPLACE COLOMBIA SAS</v>
          </cell>
          <cell r="D10" t="str">
            <v>2</v>
          </cell>
          <cell r="E10" t="str">
            <v>SHEYNER JIMENEZ</v>
          </cell>
          <cell r="F10">
            <v>42046</v>
          </cell>
          <cell r="G10">
            <v>42074</v>
          </cell>
          <cell r="H10">
            <v>42109</v>
          </cell>
          <cell r="I10">
            <v>42137</v>
          </cell>
          <cell r="J10">
            <v>42166</v>
          </cell>
          <cell r="K10">
            <v>42194</v>
          </cell>
          <cell r="L10">
            <v>42228</v>
          </cell>
          <cell r="M10">
            <v>42256</v>
          </cell>
          <cell r="N10">
            <v>42286</v>
          </cell>
          <cell r="O10">
            <v>42319</v>
          </cell>
          <cell r="P10">
            <v>42348</v>
          </cell>
          <cell r="Q10">
            <v>42383</v>
          </cell>
        </row>
        <row r="11">
          <cell r="B11">
            <v>900593581</v>
          </cell>
          <cell r="C11" t="str">
            <v>CLEARFORD COLOMBIA  HOLDING SAS</v>
          </cell>
          <cell r="D11" t="str">
            <v>1</v>
          </cell>
          <cell r="E11" t="str">
            <v>SHEYNER JIMENEZ</v>
          </cell>
          <cell r="F11">
            <v>42045</v>
          </cell>
          <cell r="G11">
            <v>42073</v>
          </cell>
          <cell r="H11">
            <v>42108</v>
          </cell>
          <cell r="I11">
            <v>42136</v>
          </cell>
          <cell r="J11">
            <v>42165</v>
          </cell>
          <cell r="K11">
            <v>42193</v>
          </cell>
          <cell r="L11">
            <v>42227</v>
          </cell>
          <cell r="M11">
            <v>42255</v>
          </cell>
          <cell r="N11">
            <v>42285</v>
          </cell>
          <cell r="O11">
            <v>42318</v>
          </cell>
          <cell r="P11">
            <v>42347</v>
          </cell>
          <cell r="Q11">
            <v>42382</v>
          </cell>
        </row>
        <row r="12">
          <cell r="B12">
            <v>900570069</v>
          </cell>
          <cell r="C12" t="str">
            <v>CLEARFORD INDUSTRIES COLOMBIA S.A.S</v>
          </cell>
          <cell r="D12" t="str">
            <v>9</v>
          </cell>
          <cell r="E12" t="str">
            <v>SHEYNER JIMENEZ</v>
          </cell>
          <cell r="F12">
            <v>42055</v>
          </cell>
          <cell r="G12">
            <v>42083</v>
          </cell>
          <cell r="H12">
            <v>42118</v>
          </cell>
          <cell r="I12">
            <v>42149</v>
          </cell>
          <cell r="J12">
            <v>42178</v>
          </cell>
          <cell r="K12">
            <v>42206</v>
          </cell>
          <cell r="L12">
            <v>42240</v>
          </cell>
          <cell r="M12">
            <v>42265</v>
          </cell>
          <cell r="N12">
            <v>42298</v>
          </cell>
          <cell r="O12">
            <v>42331</v>
          </cell>
          <cell r="P12">
            <v>42359</v>
          </cell>
          <cell r="Q12">
            <v>42394</v>
          </cell>
        </row>
        <row r="13">
          <cell r="B13">
            <v>900493030</v>
          </cell>
          <cell r="C13" t="str">
            <v>CYNGULAR SAS</v>
          </cell>
          <cell r="D13" t="str">
            <v>0</v>
          </cell>
          <cell r="E13" t="str">
            <v>SHEYNER JIMENEZ</v>
          </cell>
          <cell r="F13">
            <v>42058</v>
          </cell>
          <cell r="G13">
            <v>42087</v>
          </cell>
          <cell r="H13">
            <v>42121</v>
          </cell>
          <cell r="I13">
            <v>42150</v>
          </cell>
          <cell r="J13">
            <v>42179</v>
          </cell>
          <cell r="K13">
            <v>42207</v>
          </cell>
          <cell r="L13">
            <v>42241</v>
          </cell>
          <cell r="M13">
            <v>42268</v>
          </cell>
          <cell r="N13">
            <v>42299</v>
          </cell>
          <cell r="O13">
            <v>42332</v>
          </cell>
          <cell r="P13">
            <v>42360</v>
          </cell>
          <cell r="Q13">
            <v>42395</v>
          </cell>
        </row>
        <row r="14">
          <cell r="B14">
            <v>900633463</v>
          </cell>
          <cell r="C14" t="str">
            <v>EXPOR MANIQUIS  DE COLOMBIA SAS</v>
          </cell>
          <cell r="D14" t="str">
            <v>3</v>
          </cell>
          <cell r="E14" t="str">
            <v>SHEYNER JIMENEZ</v>
          </cell>
          <cell r="F14">
            <v>42047</v>
          </cell>
          <cell r="G14">
            <v>42075</v>
          </cell>
          <cell r="H14">
            <v>42110</v>
          </cell>
          <cell r="I14">
            <v>42138</v>
          </cell>
          <cell r="J14">
            <v>42167</v>
          </cell>
          <cell r="K14">
            <v>42195</v>
          </cell>
          <cell r="L14">
            <v>42229</v>
          </cell>
          <cell r="M14">
            <v>42257</v>
          </cell>
          <cell r="N14">
            <v>42290</v>
          </cell>
          <cell r="O14">
            <v>42320</v>
          </cell>
          <cell r="P14">
            <v>42349</v>
          </cell>
          <cell r="Q14">
            <v>42384</v>
          </cell>
        </row>
        <row r="15">
          <cell r="B15">
            <v>900609342</v>
          </cell>
          <cell r="C15" t="str">
            <v>GARRIGUES COLOMBIA SAS</v>
          </cell>
          <cell r="D15" t="str">
            <v>2</v>
          </cell>
          <cell r="E15" t="str">
            <v>SHEYNER JIMENEZ</v>
          </cell>
          <cell r="F15">
            <v>42046</v>
          </cell>
          <cell r="G15">
            <v>42074</v>
          </cell>
          <cell r="H15">
            <v>42109</v>
          </cell>
          <cell r="I15">
            <v>42137</v>
          </cell>
          <cell r="J15">
            <v>42166</v>
          </cell>
          <cell r="K15">
            <v>42194</v>
          </cell>
          <cell r="L15">
            <v>42228</v>
          </cell>
          <cell r="M15">
            <v>42256</v>
          </cell>
          <cell r="N15">
            <v>42286</v>
          </cell>
          <cell r="O15">
            <v>42319</v>
          </cell>
          <cell r="P15">
            <v>42348</v>
          </cell>
          <cell r="Q15">
            <v>42383</v>
          </cell>
        </row>
        <row r="16">
          <cell r="B16">
            <v>900805606</v>
          </cell>
          <cell r="C16" t="str">
            <v>GESTION CONSULTIVA SAS</v>
          </cell>
          <cell r="D16" t="str">
            <v>6</v>
          </cell>
          <cell r="E16" t="str">
            <v>SHEYNER JIMENEZ</v>
          </cell>
          <cell r="F16">
            <v>42052</v>
          </cell>
          <cell r="G16">
            <v>42080</v>
          </cell>
          <cell r="H16">
            <v>42115</v>
          </cell>
          <cell r="I16">
            <v>42144</v>
          </cell>
          <cell r="J16">
            <v>42173</v>
          </cell>
          <cell r="K16">
            <v>42200</v>
          </cell>
          <cell r="L16">
            <v>42235</v>
          </cell>
          <cell r="M16">
            <v>42262</v>
          </cell>
          <cell r="N16">
            <v>42293</v>
          </cell>
          <cell r="O16">
            <v>42326</v>
          </cell>
          <cell r="P16">
            <v>42354</v>
          </cell>
          <cell r="Q16">
            <v>42389</v>
          </cell>
        </row>
        <row r="17">
          <cell r="B17">
            <v>900815680</v>
          </cell>
          <cell r="C17" t="str">
            <v>HERDOIZA CRESPO CONSTRUCCIONES COLOMBIA SAS</v>
          </cell>
          <cell r="D17" t="str">
            <v>0</v>
          </cell>
          <cell r="E17" t="str">
            <v>SHEYNER JIMENEZ</v>
          </cell>
          <cell r="F17">
            <v>42058</v>
          </cell>
          <cell r="G17">
            <v>42087</v>
          </cell>
          <cell r="H17">
            <v>42121</v>
          </cell>
          <cell r="I17">
            <v>42150</v>
          </cell>
          <cell r="J17">
            <v>42179</v>
          </cell>
          <cell r="K17">
            <v>42207</v>
          </cell>
          <cell r="L17">
            <v>42241</v>
          </cell>
          <cell r="M17">
            <v>42268</v>
          </cell>
          <cell r="N17">
            <v>42299</v>
          </cell>
          <cell r="O17">
            <v>42332</v>
          </cell>
          <cell r="P17">
            <v>42360</v>
          </cell>
          <cell r="Q17">
            <v>42395</v>
          </cell>
        </row>
        <row r="18">
          <cell r="B18">
            <v>900815676</v>
          </cell>
          <cell r="C18" t="str">
            <v>HERDOIZA CRESPO CONSTRUCCIONES S A SUCURSAL COLOMBIANA</v>
          </cell>
          <cell r="D18" t="str">
            <v>6</v>
          </cell>
          <cell r="E18" t="str">
            <v>SHEYNER JIMENEZ</v>
          </cell>
          <cell r="F18">
            <v>42052</v>
          </cell>
          <cell r="G18">
            <v>42080</v>
          </cell>
          <cell r="H18">
            <v>42115</v>
          </cell>
          <cell r="I18">
            <v>42144</v>
          </cell>
          <cell r="J18">
            <v>42173</v>
          </cell>
          <cell r="K18">
            <v>42200</v>
          </cell>
          <cell r="L18">
            <v>42235</v>
          </cell>
          <cell r="M18">
            <v>42262</v>
          </cell>
          <cell r="N18">
            <v>42293</v>
          </cell>
          <cell r="O18">
            <v>42326</v>
          </cell>
          <cell r="P18">
            <v>42354</v>
          </cell>
          <cell r="Q18">
            <v>42389</v>
          </cell>
        </row>
        <row r="19">
          <cell r="B19">
            <v>900824129</v>
          </cell>
          <cell r="C19" t="str">
            <v>HMC CAPITAL COLOMBIA SAS</v>
          </cell>
          <cell r="D19" t="str">
            <v>9</v>
          </cell>
          <cell r="E19" t="str">
            <v>SHEYNER JIMENEZ</v>
          </cell>
          <cell r="F19">
            <v>42055</v>
          </cell>
          <cell r="G19">
            <v>42083</v>
          </cell>
          <cell r="H19">
            <v>42118</v>
          </cell>
          <cell r="I19">
            <v>42149</v>
          </cell>
          <cell r="J19">
            <v>42178</v>
          </cell>
          <cell r="K19">
            <v>42206</v>
          </cell>
          <cell r="L19">
            <v>42240</v>
          </cell>
          <cell r="M19">
            <v>42265</v>
          </cell>
          <cell r="N19">
            <v>42298</v>
          </cell>
          <cell r="O19">
            <v>42331</v>
          </cell>
          <cell r="P19">
            <v>42359</v>
          </cell>
          <cell r="Q19">
            <v>42394</v>
          </cell>
        </row>
        <row r="20">
          <cell r="B20">
            <v>900545664</v>
          </cell>
          <cell r="C20" t="str">
            <v>HUMAN PARTNERS SOLUTIONS SAS</v>
          </cell>
          <cell r="D20" t="str">
            <v>4</v>
          </cell>
          <cell r="E20" t="str">
            <v>SHEYNER JIMENEZ</v>
          </cell>
          <cell r="F20">
            <v>42048</v>
          </cell>
          <cell r="G20">
            <v>42076</v>
          </cell>
          <cell r="H20">
            <v>42111</v>
          </cell>
          <cell r="I20">
            <v>42139</v>
          </cell>
          <cell r="J20">
            <v>42171</v>
          </cell>
          <cell r="K20">
            <v>42198</v>
          </cell>
          <cell r="L20">
            <v>42230</v>
          </cell>
          <cell r="M20">
            <v>42258</v>
          </cell>
          <cell r="N20">
            <v>42291</v>
          </cell>
          <cell r="O20">
            <v>42321</v>
          </cell>
          <cell r="P20">
            <v>42352</v>
          </cell>
          <cell r="Q20">
            <v>42387</v>
          </cell>
        </row>
        <row r="21">
          <cell r="B21">
            <v>900700298</v>
          </cell>
          <cell r="C21" t="str">
            <v>IBERMAN COLOMBIA SAS</v>
          </cell>
          <cell r="D21" t="str">
            <v>8</v>
          </cell>
          <cell r="E21" t="str">
            <v>SHEYNER JIMENEZ</v>
          </cell>
          <cell r="F21">
            <v>42054</v>
          </cell>
          <cell r="G21">
            <v>42082</v>
          </cell>
          <cell r="H21">
            <v>42117</v>
          </cell>
          <cell r="I21">
            <v>42146</v>
          </cell>
          <cell r="J21">
            <v>42177</v>
          </cell>
          <cell r="K21">
            <v>42202</v>
          </cell>
          <cell r="L21">
            <v>42237</v>
          </cell>
          <cell r="M21">
            <v>42264</v>
          </cell>
          <cell r="N21">
            <v>42297</v>
          </cell>
          <cell r="O21">
            <v>42328</v>
          </cell>
          <cell r="P21">
            <v>42356</v>
          </cell>
          <cell r="Q21">
            <v>42391</v>
          </cell>
        </row>
        <row r="22">
          <cell r="B22">
            <v>900633093</v>
          </cell>
          <cell r="C22" t="str">
            <v>INQLAB SAS</v>
          </cell>
          <cell r="D22" t="str">
            <v>3</v>
          </cell>
          <cell r="E22" t="str">
            <v>SHEYNER JIMENEZ</v>
          </cell>
          <cell r="F22">
            <v>42047</v>
          </cell>
          <cell r="G22">
            <v>42075</v>
          </cell>
          <cell r="H22">
            <v>42110</v>
          </cell>
          <cell r="I22">
            <v>42138</v>
          </cell>
          <cell r="J22">
            <v>42167</v>
          </cell>
          <cell r="K22">
            <v>42195</v>
          </cell>
          <cell r="L22">
            <v>42229</v>
          </cell>
          <cell r="M22">
            <v>42257</v>
          </cell>
          <cell r="N22">
            <v>42290</v>
          </cell>
          <cell r="O22">
            <v>42320</v>
          </cell>
          <cell r="P22">
            <v>42349</v>
          </cell>
          <cell r="Q22">
            <v>42384</v>
          </cell>
        </row>
      </sheetData>
      <sheetData sheetId="4">
        <row r="1">
          <cell r="B1" t="str">
            <v>N.I.T.</v>
          </cell>
          <cell r="C1" t="str">
            <v>CLIENTE</v>
          </cell>
          <cell r="D1" t="str">
            <v>ULT DIG</v>
          </cell>
          <cell r="E1" t="str">
            <v>SENIOR ENCARGADO</v>
          </cell>
          <cell r="F1" t="str">
            <v>INGRESOS 2014</v>
          </cell>
          <cell r="G1" t="str">
            <v>INGRESOS EN UVT</v>
          </cell>
          <cell r="H1" t="str">
            <v>PERIODICIDAD RETECREE</v>
          </cell>
          <cell r="I1" t="str">
            <v>DECLARACIÓN MENSUAL AUTORRETENCION CREE.</v>
          </cell>
        </row>
        <row r="2">
          <cell r="I2" t="str">
            <v>ENERO</v>
          </cell>
          <cell r="J2" t="str">
            <v>FEBRERO</v>
          </cell>
          <cell r="K2" t="str">
            <v>MARZO</v>
          </cell>
          <cell r="L2" t="str">
            <v>ABRIL</v>
          </cell>
          <cell r="M2" t="str">
            <v>MAYO</v>
          </cell>
          <cell r="N2" t="str">
            <v>JUNIO</v>
          </cell>
          <cell r="O2" t="str">
            <v>JULIO</v>
          </cell>
          <cell r="P2" t="str">
            <v>AGOSTO</v>
          </cell>
          <cell r="Q2" t="str">
            <v>SEPTIEMBRE</v>
          </cell>
          <cell r="R2" t="str">
            <v>OCTUBRE</v>
          </cell>
          <cell r="S2" t="str">
            <v>NOVIEMBRE</v>
          </cell>
          <cell r="T2" t="str">
            <v>DICIEMBRE</v>
          </cell>
        </row>
        <row r="3">
          <cell r="B3">
            <v>900434102</v>
          </cell>
          <cell r="C3" t="str">
            <v>AIRLOGISTIX SAS</v>
          </cell>
          <cell r="D3" t="str">
            <v>2</v>
          </cell>
          <cell r="E3" t="str">
            <v>SHEYNER JIMENEZ</v>
          </cell>
          <cell r="F3">
            <v>907842000</v>
          </cell>
          <cell r="G3">
            <v>33030</v>
          </cell>
          <cell r="H3" t="str">
            <v>CUATRIMESTRAL</v>
          </cell>
          <cell r="I3" t="str">
            <v>No Aplica</v>
          </cell>
          <cell r="J3" t="str">
            <v>No Aplica</v>
          </cell>
          <cell r="K3" t="str">
            <v>No Aplica</v>
          </cell>
          <cell r="L3">
            <v>42137</v>
          </cell>
          <cell r="M3" t="str">
            <v>No Aplica</v>
          </cell>
          <cell r="N3" t="str">
            <v>No Aplica</v>
          </cell>
          <cell r="O3" t="str">
            <v>No Aplica</v>
          </cell>
          <cell r="P3">
            <v>42256</v>
          </cell>
          <cell r="Q3" t="str">
            <v>No Aplica</v>
          </cell>
          <cell r="R3" t="str">
            <v>No Aplica</v>
          </cell>
          <cell r="S3" t="str">
            <v>No Aplica</v>
          </cell>
          <cell r="T3">
            <v>42383</v>
          </cell>
        </row>
        <row r="4">
          <cell r="B4">
            <v>900656604</v>
          </cell>
          <cell r="C4" t="str">
            <v>ASTRIS FINANCE COLOMBIA SAS</v>
          </cell>
          <cell r="D4" t="str">
            <v>4</v>
          </cell>
          <cell r="E4" t="str">
            <v>SHEYNER JIMENEZ</v>
          </cell>
          <cell r="F4">
            <v>439517000</v>
          </cell>
          <cell r="G4">
            <v>15991</v>
          </cell>
          <cell r="H4" t="str">
            <v>CUATRIMESTRAL</v>
          </cell>
          <cell r="I4" t="str">
            <v>No Aplica</v>
          </cell>
          <cell r="J4" t="str">
            <v>No Aplica</v>
          </cell>
          <cell r="K4" t="str">
            <v>No Aplica</v>
          </cell>
          <cell r="L4">
            <v>42139</v>
          </cell>
          <cell r="M4" t="str">
            <v>No Aplica</v>
          </cell>
          <cell r="N4" t="str">
            <v>No Aplica</v>
          </cell>
          <cell r="O4" t="str">
            <v>No Aplica</v>
          </cell>
          <cell r="P4">
            <v>42258</v>
          </cell>
          <cell r="Q4" t="str">
            <v>No Aplica</v>
          </cell>
          <cell r="R4" t="str">
            <v>No Aplica</v>
          </cell>
          <cell r="S4" t="str">
            <v>No Aplica</v>
          </cell>
          <cell r="T4">
            <v>42387</v>
          </cell>
        </row>
        <row r="5">
          <cell r="B5">
            <v>900638619</v>
          </cell>
          <cell r="C5" t="str">
            <v>BOUYGUES CONSTRUCCIONES COLOMBA SAS</v>
          </cell>
          <cell r="D5" t="str">
            <v>9</v>
          </cell>
          <cell r="E5" t="str">
            <v>SHEYNER JIMENEZ</v>
          </cell>
          <cell r="F5">
            <v>13093000</v>
          </cell>
          <cell r="G5">
            <v>476</v>
          </cell>
          <cell r="H5" t="str">
            <v>CUATRIMESTRAL</v>
          </cell>
          <cell r="I5" t="str">
            <v>No Aplica</v>
          </cell>
          <cell r="J5" t="str">
            <v>No Aplica</v>
          </cell>
          <cell r="K5" t="str">
            <v>No Aplica</v>
          </cell>
          <cell r="L5">
            <v>42149</v>
          </cell>
          <cell r="M5" t="str">
            <v>No Aplica</v>
          </cell>
          <cell r="N5" t="str">
            <v>No Aplica</v>
          </cell>
          <cell r="O5" t="str">
            <v>No Aplica</v>
          </cell>
          <cell r="P5">
            <v>42265</v>
          </cell>
          <cell r="Q5" t="str">
            <v>No Aplica</v>
          </cell>
          <cell r="R5" t="str">
            <v>No Aplica</v>
          </cell>
          <cell r="S5" t="str">
            <v>No Aplica</v>
          </cell>
          <cell r="T5">
            <v>42394</v>
          </cell>
        </row>
        <row r="6">
          <cell r="B6">
            <v>900665688</v>
          </cell>
          <cell r="C6" t="str">
            <v>BPO GESTORIA SAS</v>
          </cell>
          <cell r="D6" t="str">
            <v>8</v>
          </cell>
          <cell r="E6" t="str">
            <v>SHEYNER JIMENEZ</v>
          </cell>
          <cell r="F6">
            <v>1355340000</v>
          </cell>
          <cell r="G6">
            <v>49312</v>
          </cell>
          <cell r="H6" t="str">
            <v>CUATRIMESTRAL</v>
          </cell>
          <cell r="I6" t="str">
            <v>No Aplica</v>
          </cell>
          <cell r="J6" t="str">
            <v>No Aplica</v>
          </cell>
          <cell r="K6" t="str">
            <v>No Aplica</v>
          </cell>
          <cell r="L6">
            <v>42146</v>
          </cell>
          <cell r="M6" t="str">
            <v>No Aplica</v>
          </cell>
          <cell r="N6" t="str">
            <v>No Aplica</v>
          </cell>
          <cell r="O6" t="str">
            <v>No Aplica</v>
          </cell>
          <cell r="P6">
            <v>42264</v>
          </cell>
          <cell r="Q6" t="str">
            <v>No Aplica</v>
          </cell>
          <cell r="R6" t="str">
            <v>No Aplica</v>
          </cell>
          <cell r="S6" t="str">
            <v>No Aplica</v>
          </cell>
          <cell r="T6">
            <v>42391</v>
          </cell>
        </row>
        <row r="7">
          <cell r="B7">
            <v>900598697</v>
          </cell>
          <cell r="C7" t="str">
            <v>BPO SAS</v>
          </cell>
          <cell r="D7" t="str">
            <v>7</v>
          </cell>
          <cell r="E7" t="str">
            <v>SHEYNER JIMENEZ</v>
          </cell>
          <cell r="F7">
            <v>837487000</v>
          </cell>
          <cell r="G7">
            <v>30471</v>
          </cell>
          <cell r="H7" t="str">
            <v>CUATRIMESTRAL</v>
          </cell>
          <cell r="I7" t="str">
            <v>No Aplica</v>
          </cell>
          <cell r="J7" t="str">
            <v>No Aplica</v>
          </cell>
          <cell r="K7" t="str">
            <v>No Aplica</v>
          </cell>
          <cell r="L7">
            <v>42145</v>
          </cell>
          <cell r="M7" t="str">
            <v>No Aplica</v>
          </cell>
          <cell r="N7" t="str">
            <v>No Aplica</v>
          </cell>
          <cell r="O7" t="str">
            <v>No Aplica</v>
          </cell>
          <cell r="P7">
            <v>42263</v>
          </cell>
          <cell r="Q7" t="str">
            <v>No Aplica</v>
          </cell>
          <cell r="R7" t="str">
            <v>No Aplica</v>
          </cell>
          <cell r="S7" t="str">
            <v>No Aplica</v>
          </cell>
          <cell r="T7">
            <v>42390</v>
          </cell>
        </row>
        <row r="8">
          <cell r="B8">
            <v>900574069</v>
          </cell>
          <cell r="C8" t="str">
            <v>CELCITE COLOMBIA S.A.S EN LIQUIDACION</v>
          </cell>
          <cell r="D8" t="str">
            <v>9</v>
          </cell>
          <cell r="E8" t="str">
            <v>SHEYNER JIMENEZ</v>
          </cell>
          <cell r="F8">
            <v>0</v>
          </cell>
          <cell r="G8">
            <v>0</v>
          </cell>
          <cell r="H8" t="str">
            <v>CUATRIMESTRAL</v>
          </cell>
          <cell r="I8" t="str">
            <v>No Aplica</v>
          </cell>
          <cell r="J8" t="str">
            <v>No Aplica</v>
          </cell>
          <cell r="K8" t="str">
            <v>No Aplica</v>
          </cell>
          <cell r="L8">
            <v>42149</v>
          </cell>
          <cell r="M8" t="str">
            <v>No Aplica</v>
          </cell>
          <cell r="N8" t="str">
            <v>No Aplica</v>
          </cell>
          <cell r="O8" t="str">
            <v>No Aplica</v>
          </cell>
          <cell r="P8">
            <v>42265</v>
          </cell>
          <cell r="Q8" t="str">
            <v>No Aplica</v>
          </cell>
          <cell r="R8" t="str">
            <v>No Aplica</v>
          </cell>
          <cell r="S8" t="str">
            <v>No Aplica</v>
          </cell>
          <cell r="T8">
            <v>42394</v>
          </cell>
        </row>
        <row r="9">
          <cell r="B9">
            <v>900777451</v>
          </cell>
          <cell r="C9" t="str">
            <v xml:space="preserve">CHARIOT &amp; CASTLE </v>
          </cell>
          <cell r="D9" t="str">
            <v>1</v>
          </cell>
          <cell r="E9" t="str">
            <v>SHEYNER JIMENEZ</v>
          </cell>
          <cell r="F9">
            <v>0</v>
          </cell>
          <cell r="G9">
            <v>0</v>
          </cell>
          <cell r="H9" t="str">
            <v>CUATRIMESTRAL</v>
          </cell>
          <cell r="I9" t="str">
            <v>No Aplica</v>
          </cell>
          <cell r="J9" t="str">
            <v>No Aplica</v>
          </cell>
          <cell r="K9" t="str">
            <v>No Aplica</v>
          </cell>
          <cell r="L9">
            <v>42136</v>
          </cell>
          <cell r="M9" t="str">
            <v>No Aplica</v>
          </cell>
          <cell r="N9" t="str">
            <v>No Aplica</v>
          </cell>
          <cell r="O9" t="str">
            <v>No Aplica</v>
          </cell>
          <cell r="P9">
            <v>42255</v>
          </cell>
          <cell r="Q9" t="str">
            <v>No Aplica</v>
          </cell>
          <cell r="R9" t="str">
            <v>No Aplica</v>
          </cell>
          <cell r="S9" t="str">
            <v>No Aplica</v>
          </cell>
          <cell r="T9">
            <v>42382</v>
          </cell>
        </row>
        <row r="10">
          <cell r="B10">
            <v>900756462</v>
          </cell>
          <cell r="C10" t="str">
            <v>CHICPLACE COLOMBIA SAS</v>
          </cell>
          <cell r="D10" t="str">
            <v>2</v>
          </cell>
          <cell r="E10" t="str">
            <v>SHEYNER JIMENEZ</v>
          </cell>
          <cell r="F10">
            <v>21997000</v>
          </cell>
          <cell r="G10">
            <v>800</v>
          </cell>
          <cell r="H10" t="str">
            <v>CUATRIMESTRAL</v>
          </cell>
          <cell r="I10" t="str">
            <v>No Aplica</v>
          </cell>
          <cell r="J10" t="str">
            <v>No Aplica</v>
          </cell>
          <cell r="K10" t="str">
            <v>No Aplica</v>
          </cell>
          <cell r="L10">
            <v>42137</v>
          </cell>
          <cell r="M10" t="str">
            <v>No Aplica</v>
          </cell>
          <cell r="N10" t="str">
            <v>No Aplica</v>
          </cell>
          <cell r="O10" t="str">
            <v>No Aplica</v>
          </cell>
          <cell r="P10">
            <v>42256</v>
          </cell>
          <cell r="Q10" t="str">
            <v>No Aplica</v>
          </cell>
          <cell r="R10" t="str">
            <v>No Aplica</v>
          </cell>
          <cell r="S10" t="str">
            <v>No Aplica</v>
          </cell>
          <cell r="T10">
            <v>42383</v>
          </cell>
        </row>
        <row r="11">
          <cell r="B11">
            <v>900593581</v>
          </cell>
          <cell r="C11" t="str">
            <v>CLEARFORD COLOMBIA  HOLDING SAS</v>
          </cell>
          <cell r="D11" t="str">
            <v>1</v>
          </cell>
          <cell r="E11" t="str">
            <v>SHEYNER JIMENEZ</v>
          </cell>
          <cell r="F11">
            <v>167114000</v>
          </cell>
          <cell r="G11">
            <v>6080</v>
          </cell>
          <cell r="H11" t="str">
            <v>CUATRIMESTRAL</v>
          </cell>
          <cell r="I11" t="str">
            <v>No Aplica</v>
          </cell>
          <cell r="J11" t="str">
            <v>No Aplica</v>
          </cell>
          <cell r="K11" t="str">
            <v>No Aplica</v>
          </cell>
          <cell r="L11">
            <v>42136</v>
          </cell>
          <cell r="M11" t="str">
            <v>No Aplica</v>
          </cell>
          <cell r="N11" t="str">
            <v>No Aplica</v>
          </cell>
          <cell r="O11" t="str">
            <v>No Aplica</v>
          </cell>
          <cell r="P11">
            <v>42255</v>
          </cell>
          <cell r="Q11" t="str">
            <v>No Aplica</v>
          </cell>
          <cell r="R11" t="str">
            <v>No Aplica</v>
          </cell>
          <cell r="S11" t="str">
            <v>No Aplica</v>
          </cell>
          <cell r="T11">
            <v>42382</v>
          </cell>
        </row>
        <row r="12">
          <cell r="B12">
            <v>900570069</v>
          </cell>
          <cell r="C12" t="str">
            <v>CLEARFORD INDUSTRIES COLOMBIA S.A.S</v>
          </cell>
          <cell r="D12" t="str">
            <v>9</v>
          </cell>
          <cell r="E12" t="str">
            <v>SHEYNER JIMENEZ</v>
          </cell>
          <cell r="F12">
            <v>802923000</v>
          </cell>
          <cell r="G12">
            <v>29213</v>
          </cell>
          <cell r="H12" t="str">
            <v>CUATRIMESTRAL</v>
          </cell>
          <cell r="I12" t="str">
            <v>No Aplica</v>
          </cell>
          <cell r="J12" t="str">
            <v>No Aplica</v>
          </cell>
          <cell r="K12" t="str">
            <v>No Aplica</v>
          </cell>
          <cell r="L12">
            <v>42149</v>
          </cell>
          <cell r="M12" t="str">
            <v>No Aplica</v>
          </cell>
          <cell r="N12" t="str">
            <v>No Aplica</v>
          </cell>
          <cell r="O12" t="str">
            <v>No Aplica</v>
          </cell>
          <cell r="P12">
            <v>42265</v>
          </cell>
          <cell r="Q12" t="str">
            <v>No Aplica</v>
          </cell>
          <cell r="R12" t="str">
            <v>No Aplica</v>
          </cell>
          <cell r="S12" t="str">
            <v>No Aplica</v>
          </cell>
          <cell r="T12">
            <v>42394</v>
          </cell>
        </row>
        <row r="13">
          <cell r="B13">
            <v>900493030</v>
          </cell>
          <cell r="C13" t="str">
            <v>CYNGULAR SAS</v>
          </cell>
          <cell r="D13" t="str">
            <v>0</v>
          </cell>
          <cell r="E13" t="str">
            <v>SHEYNER JIMENEZ</v>
          </cell>
          <cell r="F13">
            <v>0</v>
          </cell>
          <cell r="G13">
            <v>0</v>
          </cell>
          <cell r="H13" t="str">
            <v>CUATRIMESTRAL</v>
          </cell>
          <cell r="I13" t="str">
            <v>No Aplica</v>
          </cell>
          <cell r="J13" t="str">
            <v>No Aplica</v>
          </cell>
          <cell r="K13" t="str">
            <v>No Aplica</v>
          </cell>
          <cell r="L13">
            <v>42150</v>
          </cell>
          <cell r="M13" t="str">
            <v>No Aplica</v>
          </cell>
          <cell r="N13" t="str">
            <v>No Aplica</v>
          </cell>
          <cell r="O13" t="str">
            <v>No Aplica</v>
          </cell>
          <cell r="P13">
            <v>42268</v>
          </cell>
          <cell r="Q13" t="str">
            <v>No Aplica</v>
          </cell>
          <cell r="R13" t="str">
            <v>No Aplica</v>
          </cell>
          <cell r="S13" t="str">
            <v>No Aplica</v>
          </cell>
          <cell r="T13">
            <v>42395</v>
          </cell>
        </row>
        <row r="14">
          <cell r="B14">
            <v>900633463</v>
          </cell>
          <cell r="C14" t="str">
            <v>EXPOR MANIQUIS  DE COLOMBIA SAS</v>
          </cell>
          <cell r="D14" t="str">
            <v>3</v>
          </cell>
          <cell r="E14" t="str">
            <v>SHEYNER JIMENEZ</v>
          </cell>
          <cell r="F14">
            <v>912487000</v>
          </cell>
          <cell r="G14">
            <v>33199</v>
          </cell>
          <cell r="H14" t="str">
            <v>CUATRIMESTRAL</v>
          </cell>
          <cell r="I14" t="str">
            <v>No Aplica</v>
          </cell>
          <cell r="J14" t="str">
            <v>No Aplica</v>
          </cell>
          <cell r="K14" t="str">
            <v>No Aplica</v>
          </cell>
          <cell r="L14">
            <v>42138</v>
          </cell>
          <cell r="M14" t="str">
            <v>No Aplica</v>
          </cell>
          <cell r="N14" t="str">
            <v>No Aplica</v>
          </cell>
          <cell r="O14" t="str">
            <v>No Aplica</v>
          </cell>
          <cell r="P14">
            <v>42257</v>
          </cell>
          <cell r="Q14" t="str">
            <v>No Aplica</v>
          </cell>
          <cell r="R14" t="str">
            <v>No Aplica</v>
          </cell>
          <cell r="S14" t="str">
            <v>No Aplica</v>
          </cell>
          <cell r="T14">
            <v>42384</v>
          </cell>
        </row>
        <row r="15">
          <cell r="B15">
            <v>900609342</v>
          </cell>
          <cell r="C15" t="str">
            <v>GARRIGUES COLOMBIA SAS</v>
          </cell>
          <cell r="D15" t="str">
            <v>2</v>
          </cell>
          <cell r="E15" t="str">
            <v>SHEYNER JIMENEZ</v>
          </cell>
          <cell r="F15">
            <v>6081992000</v>
          </cell>
          <cell r="G15">
            <v>221284</v>
          </cell>
          <cell r="H15" t="str">
            <v>MENSUAL</v>
          </cell>
          <cell r="I15">
            <v>42046</v>
          </cell>
          <cell r="J15">
            <v>42074</v>
          </cell>
          <cell r="K15">
            <v>42109</v>
          </cell>
          <cell r="L15">
            <v>42137</v>
          </cell>
          <cell r="M15">
            <v>42166</v>
          </cell>
          <cell r="N15">
            <v>42194</v>
          </cell>
          <cell r="O15">
            <v>42228</v>
          </cell>
          <cell r="P15">
            <v>42256</v>
          </cell>
          <cell r="Q15">
            <v>42286</v>
          </cell>
          <cell r="R15">
            <v>42319</v>
          </cell>
          <cell r="S15">
            <v>42348</v>
          </cell>
          <cell r="T15">
            <v>42383</v>
          </cell>
        </row>
        <row r="16">
          <cell r="B16">
            <v>900805606</v>
          </cell>
          <cell r="C16" t="str">
            <v>GESTION CONSULTIVA SAS</v>
          </cell>
          <cell r="D16" t="str">
            <v>6</v>
          </cell>
          <cell r="E16" t="str">
            <v>SHEYNER JIMENEZ</v>
          </cell>
          <cell r="F16">
            <v>0</v>
          </cell>
          <cell r="G16">
            <v>0</v>
          </cell>
          <cell r="H16" t="str">
            <v>CUATRIMESTRAL</v>
          </cell>
          <cell r="I16" t="str">
            <v>No Aplica</v>
          </cell>
          <cell r="J16" t="str">
            <v>No Aplica</v>
          </cell>
          <cell r="K16" t="str">
            <v>No Aplica</v>
          </cell>
          <cell r="L16">
            <v>42144</v>
          </cell>
          <cell r="M16" t="str">
            <v>No Aplica</v>
          </cell>
          <cell r="N16" t="str">
            <v>No Aplica</v>
          </cell>
          <cell r="O16" t="str">
            <v>No Aplica</v>
          </cell>
          <cell r="P16">
            <v>42262</v>
          </cell>
          <cell r="Q16" t="str">
            <v>No Aplica</v>
          </cell>
          <cell r="R16" t="str">
            <v>No Aplica</v>
          </cell>
          <cell r="S16" t="str">
            <v>No Aplica</v>
          </cell>
          <cell r="T16">
            <v>42389</v>
          </cell>
        </row>
        <row r="17">
          <cell r="B17">
            <v>900815680</v>
          </cell>
          <cell r="C17" t="str">
            <v>HERDOIZA CRESPO CONSTRUCCIONES COLOMBIA SAS</v>
          </cell>
          <cell r="D17" t="str">
            <v>0</v>
          </cell>
          <cell r="E17" t="str">
            <v>SHEYNER JIMENEZ</v>
          </cell>
          <cell r="F17">
            <v>0</v>
          </cell>
          <cell r="G17">
            <v>0</v>
          </cell>
          <cell r="H17" t="str">
            <v>CUATRIMESTRAL</v>
          </cell>
          <cell r="I17" t="str">
            <v>No Aplica</v>
          </cell>
          <cell r="J17" t="str">
            <v>No Aplica</v>
          </cell>
          <cell r="K17" t="str">
            <v>No Aplica</v>
          </cell>
          <cell r="L17">
            <v>42150</v>
          </cell>
          <cell r="M17" t="str">
            <v>No Aplica</v>
          </cell>
          <cell r="N17" t="str">
            <v>No Aplica</v>
          </cell>
          <cell r="O17" t="str">
            <v>No Aplica</v>
          </cell>
          <cell r="P17">
            <v>42268</v>
          </cell>
          <cell r="Q17" t="str">
            <v>No Aplica</v>
          </cell>
          <cell r="R17" t="str">
            <v>No Aplica</v>
          </cell>
          <cell r="S17" t="str">
            <v>No Aplica</v>
          </cell>
          <cell r="T17">
            <v>42395</v>
          </cell>
        </row>
        <row r="18">
          <cell r="B18">
            <v>900815676</v>
          </cell>
          <cell r="C18" t="str">
            <v>HERDOIZA CRESPO CONSTRUCCIONES S A SUCURSAL COLOMBIANA</v>
          </cell>
          <cell r="D18" t="str">
            <v>6</v>
          </cell>
          <cell r="E18" t="str">
            <v>SHEYNER JIMENEZ</v>
          </cell>
          <cell r="F18">
            <v>0</v>
          </cell>
          <cell r="G18">
            <v>0</v>
          </cell>
          <cell r="H18" t="str">
            <v>CUATRIMESTRAL</v>
          </cell>
          <cell r="I18" t="str">
            <v>No Aplica</v>
          </cell>
          <cell r="J18" t="str">
            <v>No Aplica</v>
          </cell>
          <cell r="K18" t="str">
            <v>No Aplica</v>
          </cell>
          <cell r="L18">
            <v>42144</v>
          </cell>
          <cell r="M18" t="str">
            <v>No Aplica</v>
          </cell>
          <cell r="N18" t="str">
            <v>No Aplica</v>
          </cell>
          <cell r="O18" t="str">
            <v>No Aplica</v>
          </cell>
          <cell r="P18">
            <v>42262</v>
          </cell>
          <cell r="Q18" t="str">
            <v>No Aplica</v>
          </cell>
          <cell r="R18" t="str">
            <v>No Aplica</v>
          </cell>
          <cell r="S18" t="str">
            <v>No Aplica</v>
          </cell>
          <cell r="T18">
            <v>42389</v>
          </cell>
        </row>
        <row r="19">
          <cell r="B19">
            <v>900824129</v>
          </cell>
          <cell r="C19" t="str">
            <v>HMC CAPITAL COLOMBIA SAS</v>
          </cell>
          <cell r="D19" t="str">
            <v>9</v>
          </cell>
          <cell r="E19" t="str">
            <v>SHEYNER JIMENEZ</v>
          </cell>
          <cell r="F19">
            <v>0</v>
          </cell>
          <cell r="G19">
            <v>0</v>
          </cell>
          <cell r="H19" t="str">
            <v>CUATRIMESTRAL</v>
          </cell>
          <cell r="I19" t="str">
            <v>No Aplica</v>
          </cell>
          <cell r="J19" t="str">
            <v>No Aplica</v>
          </cell>
          <cell r="K19" t="str">
            <v>No Aplica</v>
          </cell>
          <cell r="L19">
            <v>42149</v>
          </cell>
          <cell r="M19" t="str">
            <v>No Aplica</v>
          </cell>
          <cell r="N19" t="str">
            <v>No Aplica</v>
          </cell>
          <cell r="O19" t="str">
            <v>No Aplica</v>
          </cell>
          <cell r="P19">
            <v>42265</v>
          </cell>
          <cell r="Q19" t="str">
            <v>No Aplica</v>
          </cell>
          <cell r="R19" t="str">
            <v>No Aplica</v>
          </cell>
          <cell r="S19" t="str">
            <v>No Aplica</v>
          </cell>
          <cell r="T19">
            <v>42394</v>
          </cell>
        </row>
        <row r="20">
          <cell r="B20">
            <v>900545664</v>
          </cell>
          <cell r="C20" t="str">
            <v>HUMAN PARTNERS SOLUTIONS SAS</v>
          </cell>
          <cell r="D20" t="str">
            <v>4</v>
          </cell>
          <cell r="E20" t="str">
            <v>SHEYNER JIMENEZ</v>
          </cell>
          <cell r="F20">
            <v>207309000</v>
          </cell>
          <cell r="G20">
            <v>7543</v>
          </cell>
          <cell r="H20" t="str">
            <v>CUATRIMESTRAL</v>
          </cell>
          <cell r="I20" t="str">
            <v>No Aplica</v>
          </cell>
          <cell r="J20" t="str">
            <v>No Aplica</v>
          </cell>
          <cell r="K20" t="str">
            <v>No Aplica</v>
          </cell>
          <cell r="L20">
            <v>42139</v>
          </cell>
          <cell r="M20" t="str">
            <v>No Aplica</v>
          </cell>
          <cell r="N20" t="str">
            <v>No Aplica</v>
          </cell>
          <cell r="O20" t="str">
            <v>No Aplica</v>
          </cell>
          <cell r="P20">
            <v>42258</v>
          </cell>
          <cell r="Q20" t="str">
            <v>No Aplica</v>
          </cell>
          <cell r="R20" t="str">
            <v>No Aplica</v>
          </cell>
          <cell r="S20" t="str">
            <v>No Aplica</v>
          </cell>
          <cell r="T20">
            <v>42387</v>
          </cell>
        </row>
        <row r="21">
          <cell r="B21">
            <v>900700298</v>
          </cell>
          <cell r="C21" t="str">
            <v>IBERMAN COLOMBIA SAS</v>
          </cell>
          <cell r="D21" t="str">
            <v>8</v>
          </cell>
          <cell r="E21" t="str">
            <v>SHEYNER JIMENEZ</v>
          </cell>
          <cell r="F21">
            <v>5000</v>
          </cell>
          <cell r="G21">
            <v>0</v>
          </cell>
          <cell r="H21" t="str">
            <v>CUATRIMESTRAL</v>
          </cell>
          <cell r="I21" t="str">
            <v>No Aplica</v>
          </cell>
          <cell r="J21" t="str">
            <v>No Aplica</v>
          </cell>
          <cell r="K21" t="str">
            <v>No Aplica</v>
          </cell>
          <cell r="L21">
            <v>42146</v>
          </cell>
          <cell r="M21" t="str">
            <v>No Aplica</v>
          </cell>
          <cell r="N21" t="str">
            <v>No Aplica</v>
          </cell>
          <cell r="O21" t="str">
            <v>No Aplica</v>
          </cell>
          <cell r="P21">
            <v>42264</v>
          </cell>
          <cell r="Q21" t="str">
            <v>No Aplica</v>
          </cell>
          <cell r="R21" t="str">
            <v>No Aplica</v>
          </cell>
          <cell r="S21" t="str">
            <v>No Aplica</v>
          </cell>
          <cell r="T21">
            <v>42391</v>
          </cell>
        </row>
        <row r="22">
          <cell r="B22">
            <v>900633093</v>
          </cell>
          <cell r="C22" t="str">
            <v>INQLAB SAS</v>
          </cell>
          <cell r="D22" t="str">
            <v>3</v>
          </cell>
          <cell r="E22" t="str">
            <v>SHEYNER JIMENEZ</v>
          </cell>
          <cell r="F22">
            <v>1603444000</v>
          </cell>
          <cell r="G22">
            <v>58339</v>
          </cell>
          <cell r="H22" t="str">
            <v>CUATRIMESTRAL</v>
          </cell>
          <cell r="I22" t="str">
            <v>No Aplica</v>
          </cell>
          <cell r="J22" t="str">
            <v>No Aplica</v>
          </cell>
          <cell r="K22" t="str">
            <v>No Aplica</v>
          </cell>
          <cell r="L22">
            <v>42138</v>
          </cell>
          <cell r="M22" t="str">
            <v>No Aplica</v>
          </cell>
          <cell r="N22" t="str">
            <v>No Aplica</v>
          </cell>
          <cell r="O22" t="str">
            <v>No Aplica</v>
          </cell>
          <cell r="P22">
            <v>42257</v>
          </cell>
          <cell r="Q22" t="str">
            <v>No Aplica</v>
          </cell>
          <cell r="R22" t="str">
            <v>No Aplica</v>
          </cell>
          <cell r="S22" t="str">
            <v>No Aplica</v>
          </cell>
          <cell r="T22">
            <v>42384</v>
          </cell>
        </row>
      </sheetData>
      <sheetData sheetId="5"/>
      <sheetData sheetId="6">
        <row r="1">
          <cell r="B1" t="str">
            <v>N.I.T.</v>
          </cell>
          <cell r="C1" t="str">
            <v>CLIENTE</v>
          </cell>
          <cell r="D1" t="str">
            <v>ULT DIG</v>
          </cell>
          <cell r="E1" t="str">
            <v>DOS ULT DIG</v>
          </cell>
          <cell r="F1" t="str">
            <v>SENIOR ENCARGADO</v>
          </cell>
          <cell r="G1" t="str">
            <v>DOMICILIADO EN BOGOTA</v>
          </cell>
          <cell r="H1" t="str">
            <v>ICA REGIMEN COMUN - BOGOTA</v>
          </cell>
        </row>
        <row r="2">
          <cell r="H2" t="str">
            <v>ENE - FEB</v>
          </cell>
          <cell r="I2" t="str">
            <v>MAR - ABR</v>
          </cell>
          <cell r="J2" t="str">
            <v>MAY - JUN</v>
          </cell>
          <cell r="K2" t="str">
            <v>JUL - AGO</v>
          </cell>
          <cell r="L2" t="str">
            <v>SEP - OCT</v>
          </cell>
          <cell r="M2" t="str">
            <v>NOV - DIC</v>
          </cell>
          <cell r="Q2" t="str">
            <v>ICA Y RETEICA REGIMEN COMUN - BOGOTA</v>
          </cell>
        </row>
        <row r="3">
          <cell r="B3">
            <v>900434102</v>
          </cell>
          <cell r="C3" t="str">
            <v>AIRLOGISTIX SAS</v>
          </cell>
          <cell r="D3" t="str">
            <v>2</v>
          </cell>
          <cell r="E3" t="str">
            <v>02</v>
          </cell>
          <cell r="F3" t="str">
            <v>SHEYNER JIMENEZ</v>
          </cell>
          <cell r="G3" t="str">
            <v>SI</v>
          </cell>
          <cell r="H3">
            <v>42082</v>
          </cell>
          <cell r="I3">
            <v>42143</v>
          </cell>
          <cell r="J3">
            <v>42202</v>
          </cell>
          <cell r="K3">
            <v>42265</v>
          </cell>
          <cell r="L3">
            <v>42327</v>
          </cell>
          <cell r="M3">
            <v>42388</v>
          </cell>
        </row>
        <row r="4">
          <cell r="B4">
            <v>900656604</v>
          </cell>
          <cell r="C4" t="str">
            <v>ASTRIS FINANCE COLOMBIA SAS</v>
          </cell>
          <cell r="D4" t="str">
            <v>4</v>
          </cell>
          <cell r="E4" t="str">
            <v>04</v>
          </cell>
          <cell r="F4" t="str">
            <v>SHEYNER JIMENEZ</v>
          </cell>
          <cell r="G4" t="str">
            <v>SI</v>
          </cell>
          <cell r="H4">
            <v>42082</v>
          </cell>
          <cell r="I4">
            <v>42143</v>
          </cell>
          <cell r="J4">
            <v>42202</v>
          </cell>
          <cell r="K4">
            <v>42265</v>
          </cell>
          <cell r="L4">
            <v>42327</v>
          </cell>
          <cell r="M4">
            <v>42388</v>
          </cell>
        </row>
        <row r="5">
          <cell r="B5">
            <v>900638619</v>
          </cell>
          <cell r="C5" t="str">
            <v>BOUYGUES CONSTRUCCIONES COLOMBA SAS</v>
          </cell>
          <cell r="D5" t="str">
            <v>9</v>
          </cell>
          <cell r="E5" t="str">
            <v>19</v>
          </cell>
          <cell r="F5" t="str">
            <v>SHEYNER JIMENEZ</v>
          </cell>
          <cell r="G5" t="str">
            <v>SI</v>
          </cell>
          <cell r="H5">
            <v>42082</v>
          </cell>
          <cell r="I5">
            <v>42143</v>
          </cell>
          <cell r="J5">
            <v>42202</v>
          </cell>
          <cell r="K5">
            <v>42265</v>
          </cell>
          <cell r="L5">
            <v>42327</v>
          </cell>
          <cell r="M5">
            <v>42388</v>
          </cell>
          <cell r="Q5" t="str">
            <v>ULTIMO</v>
          </cell>
        </row>
        <row r="6">
          <cell r="B6">
            <v>900665688</v>
          </cell>
          <cell r="C6" t="str">
            <v>BPO GESTORIA SAS</v>
          </cell>
          <cell r="D6" t="str">
            <v>8</v>
          </cell>
          <cell r="E6" t="str">
            <v>88</v>
          </cell>
          <cell r="F6" t="str">
            <v>SHEYNER JIMENEZ</v>
          </cell>
          <cell r="G6" t="str">
            <v>SI</v>
          </cell>
          <cell r="H6">
            <v>42082</v>
          </cell>
          <cell r="I6">
            <v>42143</v>
          </cell>
          <cell r="J6">
            <v>42202</v>
          </cell>
          <cell r="K6">
            <v>42265</v>
          </cell>
          <cell r="L6">
            <v>42327</v>
          </cell>
          <cell r="M6">
            <v>42388</v>
          </cell>
          <cell r="Q6" t="str">
            <v>DIGITO</v>
          </cell>
        </row>
        <row r="7">
          <cell r="B7">
            <v>900598697</v>
          </cell>
          <cell r="C7" t="str">
            <v>BPO SAS</v>
          </cell>
          <cell r="D7" t="str">
            <v>7</v>
          </cell>
          <cell r="E7" t="str">
            <v>97</v>
          </cell>
          <cell r="F7" t="str">
            <v>SHEYNER JIMENEZ</v>
          </cell>
          <cell r="G7" t="str">
            <v>SI</v>
          </cell>
          <cell r="H7">
            <v>42082</v>
          </cell>
          <cell r="I7">
            <v>42143</v>
          </cell>
          <cell r="J7">
            <v>42202</v>
          </cell>
          <cell r="K7">
            <v>42265</v>
          </cell>
          <cell r="L7">
            <v>42327</v>
          </cell>
          <cell r="M7">
            <v>42388</v>
          </cell>
          <cell r="Q7" t="str">
            <v>1</v>
          </cell>
        </row>
        <row r="8">
          <cell r="B8">
            <v>900574069</v>
          </cell>
          <cell r="C8" t="str">
            <v>CELCITE COLOMBIA S.A.S EN LIQUIDACION</v>
          </cell>
          <cell r="D8" t="str">
            <v>9</v>
          </cell>
          <cell r="E8" t="str">
            <v>69</v>
          </cell>
          <cell r="F8" t="str">
            <v>SHEYNER JIMENEZ</v>
          </cell>
          <cell r="G8" t="str">
            <v>SI</v>
          </cell>
          <cell r="H8">
            <v>42082</v>
          </cell>
          <cell r="I8">
            <v>42143</v>
          </cell>
          <cell r="J8">
            <v>42202</v>
          </cell>
          <cell r="K8">
            <v>42265</v>
          </cell>
          <cell r="L8">
            <v>42327</v>
          </cell>
          <cell r="M8">
            <v>42388</v>
          </cell>
          <cell r="Q8" t="str">
            <v>2</v>
          </cell>
        </row>
        <row r="9">
          <cell r="B9">
            <v>900777451</v>
          </cell>
          <cell r="C9" t="str">
            <v xml:space="preserve">CHARIOT &amp; CASTLE </v>
          </cell>
          <cell r="D9" t="str">
            <v>1</v>
          </cell>
          <cell r="E9" t="str">
            <v>51</v>
          </cell>
          <cell r="F9" t="str">
            <v>SHEYNER JIMENEZ</v>
          </cell>
          <cell r="G9" t="str">
            <v>SI</v>
          </cell>
          <cell r="H9">
            <v>42082</v>
          </cell>
          <cell r="I9">
            <v>42143</v>
          </cell>
          <cell r="J9">
            <v>42202</v>
          </cell>
          <cell r="K9">
            <v>42265</v>
          </cell>
          <cell r="L9">
            <v>42327</v>
          </cell>
          <cell r="M9">
            <v>42388</v>
          </cell>
          <cell r="Q9" t="str">
            <v>3</v>
          </cell>
        </row>
        <row r="10">
          <cell r="B10">
            <v>900756462</v>
          </cell>
          <cell r="C10" t="str">
            <v>CHICPLACE COLOMBIA SAS</v>
          </cell>
          <cell r="D10" t="str">
            <v>2</v>
          </cell>
          <cell r="E10" t="str">
            <v>62</v>
          </cell>
          <cell r="F10" t="str">
            <v>SHEYNER JIMENEZ</v>
          </cell>
          <cell r="G10" t="str">
            <v>SI</v>
          </cell>
          <cell r="H10">
            <v>42082</v>
          </cell>
          <cell r="I10">
            <v>42143</v>
          </cell>
          <cell r="J10">
            <v>42202</v>
          </cell>
          <cell r="K10">
            <v>42265</v>
          </cell>
          <cell r="L10">
            <v>42327</v>
          </cell>
          <cell r="M10">
            <v>42388</v>
          </cell>
          <cell r="Q10" t="str">
            <v>4</v>
          </cell>
        </row>
        <row r="11">
          <cell r="B11">
            <v>900593581</v>
          </cell>
          <cell r="C11" t="str">
            <v>CLEARFORD COLOMBIA  HOLDING SAS</v>
          </cell>
          <cell r="D11" t="str">
            <v>1</v>
          </cell>
          <cell r="E11" t="str">
            <v>81</v>
          </cell>
          <cell r="F11" t="str">
            <v>SHEYNER JIMENEZ</v>
          </cell>
          <cell r="G11" t="str">
            <v>SI</v>
          </cell>
          <cell r="H11">
            <v>42082</v>
          </cell>
          <cell r="I11">
            <v>42143</v>
          </cell>
          <cell r="J11">
            <v>42202</v>
          </cell>
          <cell r="K11">
            <v>42265</v>
          </cell>
          <cell r="L11">
            <v>42327</v>
          </cell>
          <cell r="M11">
            <v>42388</v>
          </cell>
          <cell r="Q11" t="str">
            <v>5</v>
          </cell>
        </row>
        <row r="12">
          <cell r="B12">
            <v>900570069</v>
          </cell>
          <cell r="C12" t="str">
            <v>CLEARFORD INDUSTRIES COLOMBIA S.A.S</v>
          </cell>
          <cell r="D12" t="str">
            <v>9</v>
          </cell>
          <cell r="E12" t="str">
            <v>69</v>
          </cell>
          <cell r="F12" t="str">
            <v>SHEYNER JIMENEZ</v>
          </cell>
          <cell r="G12" t="str">
            <v>SI</v>
          </cell>
          <cell r="H12">
            <v>42082</v>
          </cell>
          <cell r="I12">
            <v>42143</v>
          </cell>
          <cell r="J12">
            <v>42202</v>
          </cell>
          <cell r="K12">
            <v>42265</v>
          </cell>
          <cell r="L12">
            <v>42327</v>
          </cell>
          <cell r="M12">
            <v>42388</v>
          </cell>
          <cell r="Q12" t="str">
            <v>6</v>
          </cell>
        </row>
        <row r="13">
          <cell r="B13">
            <v>900493030</v>
          </cell>
          <cell r="C13" t="str">
            <v>CYNGULAR SAS</v>
          </cell>
          <cell r="D13" t="str">
            <v>0</v>
          </cell>
          <cell r="E13" t="str">
            <v>30</v>
          </cell>
          <cell r="F13" t="str">
            <v>SHEYNER JIMENEZ</v>
          </cell>
          <cell r="G13" t="str">
            <v>SI</v>
          </cell>
          <cell r="H13">
            <v>42082</v>
          </cell>
          <cell r="I13">
            <v>42143</v>
          </cell>
          <cell r="J13">
            <v>42202</v>
          </cell>
          <cell r="K13">
            <v>42265</v>
          </cell>
          <cell r="L13">
            <v>42327</v>
          </cell>
          <cell r="M13">
            <v>42388</v>
          </cell>
          <cell r="Q13" t="str">
            <v>7</v>
          </cell>
        </row>
        <row r="14">
          <cell r="B14">
            <v>900633463</v>
          </cell>
          <cell r="C14" t="str">
            <v>EXPOR MANIQUIS  DE COLOMBIA SAS</v>
          </cell>
          <cell r="D14" t="str">
            <v>3</v>
          </cell>
          <cell r="E14" t="str">
            <v>63</v>
          </cell>
          <cell r="F14" t="str">
            <v>SHEYNER JIMENEZ</v>
          </cell>
          <cell r="G14" t="str">
            <v>SI</v>
          </cell>
          <cell r="H14">
            <v>42082</v>
          </cell>
          <cell r="I14">
            <v>42143</v>
          </cell>
          <cell r="J14">
            <v>42202</v>
          </cell>
          <cell r="K14">
            <v>42265</v>
          </cell>
          <cell r="L14">
            <v>42327</v>
          </cell>
          <cell r="M14">
            <v>42388</v>
          </cell>
          <cell r="Q14" t="str">
            <v>8</v>
          </cell>
        </row>
        <row r="15">
          <cell r="B15">
            <v>900609342</v>
          </cell>
          <cell r="C15" t="str">
            <v>GARRIGUES COLOMBIA SAS</v>
          </cell>
          <cell r="D15" t="str">
            <v>2</v>
          </cell>
          <cell r="E15" t="str">
            <v>42</v>
          </cell>
          <cell r="F15" t="str">
            <v>SHEYNER JIMENEZ</v>
          </cell>
          <cell r="G15" t="str">
            <v>SI</v>
          </cell>
          <cell r="H15">
            <v>42082</v>
          </cell>
          <cell r="I15">
            <v>42143</v>
          </cell>
          <cell r="J15">
            <v>42202</v>
          </cell>
          <cell r="K15">
            <v>42265</v>
          </cell>
          <cell r="L15">
            <v>42327</v>
          </cell>
          <cell r="M15">
            <v>42388</v>
          </cell>
          <cell r="Q15" t="str">
            <v>9</v>
          </cell>
        </row>
        <row r="16">
          <cell r="B16">
            <v>900805606</v>
          </cell>
          <cell r="C16" t="str">
            <v>GESTION CONSULTIVA SAS</v>
          </cell>
          <cell r="D16" t="str">
            <v>6</v>
          </cell>
          <cell r="E16" t="str">
            <v>06</v>
          </cell>
          <cell r="F16" t="str">
            <v>SHEYNER JIMENEZ</v>
          </cell>
          <cell r="G16" t="str">
            <v>SI</v>
          </cell>
          <cell r="H16">
            <v>42082</v>
          </cell>
          <cell r="I16">
            <v>42143</v>
          </cell>
          <cell r="J16">
            <v>42202</v>
          </cell>
          <cell r="K16">
            <v>42265</v>
          </cell>
          <cell r="L16">
            <v>42327</v>
          </cell>
          <cell r="M16">
            <v>42388</v>
          </cell>
          <cell r="Q16" t="str">
            <v>0</v>
          </cell>
        </row>
        <row r="17">
          <cell r="B17">
            <v>900815680</v>
          </cell>
          <cell r="C17" t="str">
            <v>HERDOIZA CRESPO CONSTRUCCIONES COLOMBIA SAS</v>
          </cell>
          <cell r="D17" t="str">
            <v>0</v>
          </cell>
          <cell r="E17" t="str">
            <v>80</v>
          </cell>
          <cell r="F17" t="str">
            <v>SHEYNER JIMENEZ</v>
          </cell>
          <cell r="G17" t="str">
            <v>SI</v>
          </cell>
          <cell r="H17">
            <v>42082</v>
          </cell>
          <cell r="I17">
            <v>42143</v>
          </cell>
          <cell r="J17">
            <v>42202</v>
          </cell>
          <cell r="K17">
            <v>42265</v>
          </cell>
          <cell r="L17">
            <v>42327</v>
          </cell>
          <cell r="M17">
            <v>42388</v>
          </cell>
        </row>
        <row r="18">
          <cell r="B18">
            <v>900815676</v>
          </cell>
          <cell r="C18" t="str">
            <v>HERDOIZA CRESPO CONSTRUCCIONES S A SUCURSAL COLOMBIANA</v>
          </cell>
          <cell r="D18" t="str">
            <v>6</v>
          </cell>
          <cell r="E18" t="str">
            <v>76</v>
          </cell>
          <cell r="F18" t="str">
            <v>SHEYNER JIMENEZ</v>
          </cell>
          <cell r="G18" t="str">
            <v>SI</v>
          </cell>
          <cell r="H18">
            <v>42082</v>
          </cell>
          <cell r="I18">
            <v>42143</v>
          </cell>
          <cell r="J18">
            <v>42202</v>
          </cell>
          <cell r="K18">
            <v>42265</v>
          </cell>
          <cell r="L18">
            <v>42327</v>
          </cell>
          <cell r="M18">
            <v>42388</v>
          </cell>
        </row>
        <row r="19">
          <cell r="B19">
            <v>900824129</v>
          </cell>
          <cell r="C19" t="str">
            <v>HMC CAPITAL COLOMBIA SAS</v>
          </cell>
          <cell r="D19" t="str">
            <v>9</v>
          </cell>
          <cell r="E19" t="str">
            <v>29</v>
          </cell>
          <cell r="F19" t="str">
            <v>SHEYNER JIMENEZ</v>
          </cell>
          <cell r="G19" t="str">
            <v>SI</v>
          </cell>
          <cell r="H19">
            <v>42082</v>
          </cell>
          <cell r="I19">
            <v>42143</v>
          </cell>
          <cell r="J19">
            <v>42202</v>
          </cell>
          <cell r="K19">
            <v>42265</v>
          </cell>
          <cell r="L19">
            <v>42327</v>
          </cell>
          <cell r="M19">
            <v>42388</v>
          </cell>
        </row>
        <row r="20">
          <cell r="B20">
            <v>900545664</v>
          </cell>
          <cell r="C20" t="str">
            <v>HUMAN PARTNERS SOLUTIONS SAS</v>
          </cell>
          <cell r="D20" t="str">
            <v>4</v>
          </cell>
          <cell r="E20" t="str">
            <v>64</v>
          </cell>
          <cell r="F20" t="str">
            <v>SHEYNER JIMENEZ</v>
          </cell>
          <cell r="G20" t="str">
            <v>SI</v>
          </cell>
          <cell r="H20">
            <v>42082</v>
          </cell>
          <cell r="I20">
            <v>42143</v>
          </cell>
          <cell r="J20">
            <v>42202</v>
          </cell>
          <cell r="K20">
            <v>42265</v>
          </cell>
          <cell r="L20">
            <v>42327</v>
          </cell>
          <cell r="M20">
            <v>42388</v>
          </cell>
          <cell r="Q20" t="str">
            <v>OTROS IMPUESTOS BOGOTA</v>
          </cell>
        </row>
        <row r="21">
          <cell r="B21">
            <v>900700298</v>
          </cell>
          <cell r="C21" t="str">
            <v>IBERMAN COLOMBIA SAS</v>
          </cell>
          <cell r="D21" t="str">
            <v>8</v>
          </cell>
          <cell r="E21" t="str">
            <v>98</v>
          </cell>
          <cell r="F21" t="str">
            <v>SHEYNER JIMENEZ</v>
          </cell>
          <cell r="G21" t="str">
            <v>SI</v>
          </cell>
          <cell r="H21">
            <v>42082</v>
          </cell>
          <cell r="I21">
            <v>42143</v>
          </cell>
          <cell r="J21">
            <v>42202</v>
          </cell>
          <cell r="K21">
            <v>42265</v>
          </cell>
          <cell r="L21">
            <v>42327</v>
          </cell>
          <cell r="M21">
            <v>42388</v>
          </cell>
        </row>
        <row r="22">
          <cell r="B22">
            <v>900633093</v>
          </cell>
          <cell r="C22" t="str">
            <v>INQLAB SAS</v>
          </cell>
          <cell r="D22" t="str">
            <v>3</v>
          </cell>
          <cell r="E22" t="str">
            <v>93</v>
          </cell>
          <cell r="F22" t="str">
            <v>SHEYNER JIMENEZ</v>
          </cell>
          <cell r="G22" t="str">
            <v>SI</v>
          </cell>
          <cell r="H22">
            <v>42082</v>
          </cell>
          <cell r="I22">
            <v>42143</v>
          </cell>
          <cell r="J22">
            <v>42202</v>
          </cell>
          <cell r="K22">
            <v>42265</v>
          </cell>
          <cell r="L22">
            <v>42327</v>
          </cell>
          <cell r="M22">
            <v>42388</v>
          </cell>
        </row>
        <row r="26">
          <cell r="Q26" t="str">
            <v>AÑO A</v>
          </cell>
        </row>
        <row r="27">
          <cell r="Q27" t="str">
            <v>DECLARAR</v>
          </cell>
        </row>
        <row r="28">
          <cell r="Q28" t="str">
            <v>2013</v>
          </cell>
        </row>
        <row r="29">
          <cell r="Q29" t="str">
            <v>2014</v>
          </cell>
        </row>
        <row r="33">
          <cell r="Q33" t="str">
            <v>PLAZO A</v>
          </cell>
        </row>
        <row r="34">
          <cell r="Q34" t="str">
            <v>DECLARAR</v>
          </cell>
        </row>
        <row r="35">
          <cell r="Q35" t="str">
            <v>1</v>
          </cell>
        </row>
        <row r="36">
          <cell r="Q36" t="str">
            <v>2</v>
          </cell>
        </row>
        <row r="39">
          <cell r="Q39" t="str">
            <v>PLAZO A</v>
          </cell>
        </row>
        <row r="40">
          <cell r="Q40" t="str">
            <v>DECLARAR</v>
          </cell>
        </row>
        <row r="41">
          <cell r="Q41" t="str">
            <v>1</v>
          </cell>
        </row>
        <row r="42">
          <cell r="Q42" t="str">
            <v>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tabSelected="1" topLeftCell="A4" zoomScale="80" zoomScaleNormal="80" workbookViewId="0">
      <pane ySplit="4" topLeftCell="A8" activePane="bottomLeft" state="frozen"/>
      <selection activeCell="A4" sqref="A4"/>
      <selection pane="bottomLeft" activeCell="K16" sqref="K16"/>
    </sheetView>
  </sheetViews>
  <sheetFormatPr baseColWidth="10" defaultColWidth="9.140625" defaultRowHeight="12.75" x14ac:dyDescent="0.25"/>
  <cols>
    <col min="1" max="1" width="5.140625" style="4" customWidth="1"/>
    <col min="2" max="2" width="6" style="15" customWidth="1"/>
    <col min="3" max="3" width="14.140625" style="21" customWidth="1"/>
    <col min="4" max="4" width="55.140625" style="16" bestFit="1" customWidth="1"/>
    <col min="5" max="5" width="4.140625" style="15" customWidth="1"/>
    <col min="6" max="6" width="6.5703125" style="15" customWidth="1"/>
    <col min="7" max="7" width="18.28515625" style="4" customWidth="1"/>
    <col min="8" max="8" width="14.7109375" style="4" customWidth="1"/>
    <col min="9" max="9" width="15.140625" style="4" customWidth="1"/>
    <col min="10" max="10" width="20.28515625" style="4" customWidth="1"/>
    <col min="11" max="11" width="11" style="15" customWidth="1"/>
    <col min="12" max="14" width="10.140625" style="15" customWidth="1"/>
    <col min="15" max="15" width="45.85546875" style="15" customWidth="1"/>
    <col min="16" max="16" width="9.7109375" style="4" customWidth="1"/>
    <col min="17" max="17" width="9.5703125" style="15" customWidth="1"/>
    <col min="18" max="18" width="10.42578125" style="15" customWidth="1"/>
    <col min="19" max="19" width="33.7109375" style="4" customWidth="1"/>
    <col min="20" max="20" width="32.42578125" style="4" customWidth="1"/>
    <col min="21" max="21" width="19.42578125" style="25" bestFit="1" customWidth="1"/>
    <col min="22" max="22" width="19" style="24" bestFit="1" customWidth="1"/>
    <col min="23" max="25" width="9.140625" style="15"/>
    <col min="26" max="16384" width="9.140625" style="4"/>
  </cols>
  <sheetData>
    <row r="1" spans="1:41" x14ac:dyDescent="0.25">
      <c r="A1" s="1"/>
      <c r="B1" s="2"/>
      <c r="C1" s="3"/>
      <c r="D1" s="49" t="s">
        <v>0</v>
      </c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1"/>
      <c r="T1" s="1"/>
      <c r="U1" s="22"/>
      <c r="V1" s="23"/>
    </row>
    <row r="2" spans="1:41" x14ac:dyDescent="0.25">
      <c r="A2" s="1"/>
      <c r="B2" s="5"/>
      <c r="C2" s="6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1"/>
      <c r="T2" s="1"/>
      <c r="U2" s="22"/>
      <c r="V2" s="23"/>
    </row>
    <row r="3" spans="1:41" x14ac:dyDescent="0.25">
      <c r="A3" s="1"/>
      <c r="B3" s="7"/>
      <c r="C3" s="8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1"/>
      <c r="T3" s="1"/>
      <c r="U3" s="22"/>
      <c r="V3" s="23"/>
    </row>
    <row r="4" spans="1:41" x14ac:dyDescent="0.25">
      <c r="A4" s="9"/>
      <c r="B4" s="9"/>
      <c r="C4" s="9"/>
      <c r="D4" s="9"/>
      <c r="E4" s="10"/>
      <c r="F4" s="10"/>
      <c r="G4" s="6"/>
      <c r="H4" s="11"/>
      <c r="I4" s="11"/>
      <c r="J4" s="6"/>
      <c r="K4" s="10"/>
      <c r="L4" s="10"/>
      <c r="M4" s="10"/>
      <c r="N4" s="10"/>
      <c r="O4" s="10"/>
      <c r="P4" s="6"/>
      <c r="Q4" s="10"/>
      <c r="R4" s="10"/>
      <c r="S4" s="1"/>
      <c r="T4" s="1"/>
      <c r="U4" s="22"/>
      <c r="V4" s="23"/>
    </row>
    <row r="5" spans="1:41" x14ac:dyDescent="0.25">
      <c r="A5" s="6"/>
      <c r="B5" s="6"/>
      <c r="C5" s="6"/>
      <c r="D5" s="6"/>
      <c r="E5" s="10"/>
      <c r="F5" s="10"/>
      <c r="G5" s="12"/>
      <c r="H5" s="6"/>
      <c r="I5" s="6"/>
      <c r="J5" s="6"/>
      <c r="K5" s="52" t="s">
        <v>1</v>
      </c>
      <c r="L5" s="53"/>
      <c r="M5" s="53"/>
      <c r="N5" s="53"/>
      <c r="O5" s="54"/>
      <c r="P5" s="6"/>
      <c r="Q5" s="10"/>
      <c r="R5" s="10"/>
      <c r="S5" s="1"/>
      <c r="T5" s="1"/>
      <c r="U5" s="22"/>
      <c r="V5" s="23"/>
    </row>
    <row r="6" spans="1:41" x14ac:dyDescent="0.25">
      <c r="A6" s="55">
        <v>1429</v>
      </c>
      <c r="B6" s="55" t="s">
        <v>2</v>
      </c>
      <c r="C6" s="55" t="s">
        <v>3</v>
      </c>
      <c r="D6" s="55" t="s">
        <v>4</v>
      </c>
      <c r="E6" s="55" t="s">
        <v>5</v>
      </c>
      <c r="F6" s="55" t="s">
        <v>6</v>
      </c>
      <c r="G6" s="55" t="s">
        <v>7</v>
      </c>
      <c r="H6" s="55" t="s">
        <v>8</v>
      </c>
      <c r="I6" s="55" t="s">
        <v>9</v>
      </c>
      <c r="J6" s="55" t="s">
        <v>10</v>
      </c>
      <c r="K6" s="56"/>
      <c r="L6" s="56"/>
      <c r="M6" s="57"/>
      <c r="N6" s="60" t="s">
        <v>11</v>
      </c>
      <c r="O6" s="57"/>
      <c r="P6" s="55" t="s">
        <v>12</v>
      </c>
      <c r="Q6" s="55" t="s">
        <v>13</v>
      </c>
      <c r="R6" s="55" t="s">
        <v>49</v>
      </c>
      <c r="S6" s="55" t="s">
        <v>14</v>
      </c>
      <c r="T6" s="60" t="s">
        <v>15</v>
      </c>
      <c r="U6" s="58" t="s">
        <v>21</v>
      </c>
      <c r="V6" s="59" t="s">
        <v>22</v>
      </c>
    </row>
    <row r="7" spans="1:41" ht="38.25" x14ac:dyDescent="0.25">
      <c r="A7" s="55">
        <v>1429</v>
      </c>
      <c r="B7" s="55"/>
      <c r="C7" s="55"/>
      <c r="D7" s="55"/>
      <c r="E7" s="55"/>
      <c r="F7" s="55"/>
      <c r="G7" s="55"/>
      <c r="H7" s="55"/>
      <c r="I7" s="55"/>
      <c r="J7" s="55"/>
      <c r="K7" s="13" t="s">
        <v>16</v>
      </c>
      <c r="L7" s="13" t="s">
        <v>17</v>
      </c>
      <c r="M7" s="13" t="s">
        <v>18</v>
      </c>
      <c r="N7" s="13" t="s">
        <v>19</v>
      </c>
      <c r="O7" s="13" t="s">
        <v>20</v>
      </c>
      <c r="P7" s="55"/>
      <c r="Q7" s="55"/>
      <c r="R7" s="55"/>
      <c r="S7" s="55"/>
      <c r="T7" s="60"/>
      <c r="U7" s="58"/>
      <c r="V7" s="59"/>
      <c r="W7" s="39" t="s">
        <v>23</v>
      </c>
      <c r="X7" s="39" t="s">
        <v>24</v>
      </c>
      <c r="Y7" s="39" t="s">
        <v>25</v>
      </c>
    </row>
    <row r="8" spans="1:41" s="14" customFormat="1" x14ac:dyDescent="0.25">
      <c r="B8" s="26">
        <v>1</v>
      </c>
      <c r="C8" s="48">
        <v>900434102</v>
      </c>
      <c r="D8" s="27" t="s">
        <v>28</v>
      </c>
      <c r="E8" s="28" t="str">
        <f t="shared" ref="E8:E27" si="0">+MID(C8,9,1)</f>
        <v>2</v>
      </c>
      <c r="F8" s="28" t="str">
        <f t="shared" ref="F8:F27" si="1">+IF(H8&gt;(616600*3000),"SI","NO")</f>
        <v>NO</v>
      </c>
      <c r="G8" s="29" t="s">
        <v>48</v>
      </c>
      <c r="H8" s="30">
        <v>907842000</v>
      </c>
      <c r="I8" s="31">
        <f>ROUND(+H8/27485,0)</f>
        <v>33030</v>
      </c>
      <c r="J8" s="32" t="str">
        <f t="shared" ref="J8:J27" si="2">+IF(I8&gt;92000,"BIMESTRAL",IF(AND(I8&lt;=92000,I8&gt;15000),"CUATRIMESTRAL","ANUAL"))</f>
        <v>CUATRIMESTRAL</v>
      </c>
      <c r="K8" s="33">
        <f>+VLOOKUP(C8,[1]Retefte!B:Q,14,0)</f>
        <v>42319</v>
      </c>
      <c r="L8" s="33" t="str">
        <f>+VLOOKUP(C8,[1]IVA!B:Q,14,0)</f>
        <v>No aplica</v>
      </c>
      <c r="M8" s="33" t="str">
        <f>+VLOOKUP(C8,[1]Retecree!B:T,17,0)</f>
        <v>No Aplica</v>
      </c>
      <c r="N8" s="33">
        <f>+VLOOKUP(C8,'[1]Distritales Bogota'!B:Q,11,0)</f>
        <v>42327</v>
      </c>
      <c r="O8" s="33"/>
      <c r="P8" s="33">
        <f>+IF(F8="si",(K8-6),(K8-5))-1</f>
        <v>42313</v>
      </c>
      <c r="Q8" s="33"/>
      <c r="R8" s="33"/>
      <c r="S8" s="34"/>
      <c r="T8" s="35"/>
      <c r="U8" s="36"/>
      <c r="V8" s="37"/>
      <c r="W8" s="24"/>
      <c r="X8" s="15"/>
      <c r="Y8" s="15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</row>
    <row r="9" spans="1:41" s="14" customFormat="1" x14ac:dyDescent="0.25">
      <c r="B9" s="26">
        <f>+B8+1</f>
        <v>2</v>
      </c>
      <c r="C9" s="48">
        <v>900656604</v>
      </c>
      <c r="D9" s="27" t="s">
        <v>29</v>
      </c>
      <c r="E9" s="28" t="str">
        <f t="shared" si="0"/>
        <v>4</v>
      </c>
      <c r="F9" s="28" t="str">
        <f t="shared" si="1"/>
        <v>NO</v>
      </c>
      <c r="G9" s="29" t="s">
        <v>48</v>
      </c>
      <c r="H9" s="30">
        <v>439517000</v>
      </c>
      <c r="I9" s="31">
        <f t="shared" ref="I9:I27" si="3">ROUND(+H9/27485,0)</f>
        <v>15991</v>
      </c>
      <c r="J9" s="32" t="str">
        <f t="shared" si="2"/>
        <v>CUATRIMESTRAL</v>
      </c>
      <c r="K9" s="33">
        <f>+VLOOKUP(C9,[1]Retefte!B:Q,14,0)</f>
        <v>42321</v>
      </c>
      <c r="L9" s="33" t="str">
        <f>+VLOOKUP(C9,[1]IVA!B:Q,14,0)</f>
        <v>No aplica</v>
      </c>
      <c r="M9" s="33" t="str">
        <f>+VLOOKUP(C9,[1]Retecree!B:T,17,0)</f>
        <v>No Aplica</v>
      </c>
      <c r="N9" s="33">
        <f>+VLOOKUP(C9,'[1]Distritales Bogota'!B:Q,11,0)</f>
        <v>42327</v>
      </c>
      <c r="O9" s="33"/>
      <c r="P9" s="33">
        <f>+IF(F9="si",(K9-6),(K9-6))-1</f>
        <v>42314</v>
      </c>
      <c r="Q9" s="33"/>
      <c r="R9" s="33"/>
      <c r="S9" s="34"/>
      <c r="T9" s="35"/>
      <c r="U9" s="36"/>
      <c r="V9" s="37"/>
      <c r="W9" s="24"/>
      <c r="X9" s="15"/>
      <c r="Y9" s="24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</row>
    <row r="10" spans="1:41" s="14" customFormat="1" x14ac:dyDescent="0.25">
      <c r="B10" s="26">
        <f t="shared" ref="B10:B27" si="4">+B9+1</f>
        <v>3</v>
      </c>
      <c r="C10" s="48">
        <v>900638619</v>
      </c>
      <c r="D10" s="27" t="s">
        <v>30</v>
      </c>
      <c r="E10" s="28" t="str">
        <f t="shared" si="0"/>
        <v>9</v>
      </c>
      <c r="F10" s="28" t="str">
        <f t="shared" si="1"/>
        <v>NO</v>
      </c>
      <c r="G10" s="29" t="s">
        <v>48</v>
      </c>
      <c r="H10" s="30">
        <v>13093000</v>
      </c>
      <c r="I10" s="31">
        <f t="shared" si="3"/>
        <v>476</v>
      </c>
      <c r="J10" s="32" t="str">
        <f t="shared" si="2"/>
        <v>ANUAL</v>
      </c>
      <c r="K10" s="33">
        <f>+VLOOKUP(C10,[1]Retefte!B:Q,14,0)</f>
        <v>42331</v>
      </c>
      <c r="L10" s="33" t="str">
        <f>+VLOOKUP(C10,[1]IVA!B:Q,14,0)</f>
        <v>No aplica</v>
      </c>
      <c r="M10" s="33" t="str">
        <f>+VLOOKUP(C10,[1]Retecree!B:T,17,0)</f>
        <v>No Aplica</v>
      </c>
      <c r="N10" s="33">
        <f>+VLOOKUP(C10,'[1]Distritales Bogota'!B:Q,11,0)</f>
        <v>42327</v>
      </c>
      <c r="O10" s="33"/>
      <c r="P10" s="33">
        <f t="shared" ref="P10:P13" si="5">+IF(F10="si",(K10-9),(K10-9))-1</f>
        <v>42321</v>
      </c>
      <c r="Q10" s="33"/>
      <c r="R10" s="33"/>
      <c r="S10" s="34"/>
      <c r="T10" s="35"/>
      <c r="U10" s="36"/>
      <c r="V10" s="37"/>
      <c r="W10" s="24"/>
      <c r="X10" s="15"/>
      <c r="Y10" s="24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</row>
    <row r="11" spans="1:41" s="14" customFormat="1" x14ac:dyDescent="0.25">
      <c r="B11" s="26">
        <f t="shared" si="4"/>
        <v>4</v>
      </c>
      <c r="C11" s="48">
        <v>900665688</v>
      </c>
      <c r="D11" s="27" t="s">
        <v>31</v>
      </c>
      <c r="E11" s="28" t="str">
        <f t="shared" si="0"/>
        <v>8</v>
      </c>
      <c r="F11" s="28" t="str">
        <f t="shared" si="1"/>
        <v>NO</v>
      </c>
      <c r="G11" s="29" t="s">
        <v>48</v>
      </c>
      <c r="H11" s="30">
        <v>1355340000</v>
      </c>
      <c r="I11" s="31">
        <f t="shared" si="3"/>
        <v>49312</v>
      </c>
      <c r="J11" s="32" t="str">
        <f t="shared" si="2"/>
        <v>CUATRIMESTRAL</v>
      </c>
      <c r="K11" s="33">
        <f>+VLOOKUP(C11,[1]Retefte!B:Q,14,0)</f>
        <v>42328</v>
      </c>
      <c r="L11" s="33" t="str">
        <f>+VLOOKUP(C11,[1]IVA!B:Q,14,0)</f>
        <v>No aplica</v>
      </c>
      <c r="M11" s="33" t="str">
        <f>+VLOOKUP(C11,[1]Retecree!B:T,17,0)</f>
        <v>No Aplica</v>
      </c>
      <c r="N11" s="33">
        <f>+VLOOKUP(C11,'[1]Distritales Bogota'!B:Q,11,0)</f>
        <v>42327</v>
      </c>
      <c r="O11" s="33"/>
      <c r="P11" s="33">
        <f t="shared" si="5"/>
        <v>42318</v>
      </c>
      <c r="Q11" s="33"/>
      <c r="R11" s="33"/>
      <c r="S11" s="34"/>
      <c r="T11" s="35"/>
      <c r="U11" s="36"/>
      <c r="V11" s="37"/>
      <c r="W11" s="24"/>
      <c r="X11" s="15"/>
      <c r="Y11" s="15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spans="1:41" s="14" customFormat="1" x14ac:dyDescent="0.25">
      <c r="B12" s="26">
        <f t="shared" si="4"/>
        <v>5</v>
      </c>
      <c r="C12" s="48">
        <v>900598697</v>
      </c>
      <c r="D12" s="27" t="s">
        <v>32</v>
      </c>
      <c r="E12" s="28" t="str">
        <f t="shared" si="0"/>
        <v>7</v>
      </c>
      <c r="F12" s="28" t="str">
        <f t="shared" si="1"/>
        <v>NO</v>
      </c>
      <c r="G12" s="29" t="s">
        <v>48</v>
      </c>
      <c r="H12" s="30">
        <v>837487000</v>
      </c>
      <c r="I12" s="31">
        <f t="shared" si="3"/>
        <v>30471</v>
      </c>
      <c r="J12" s="32" t="str">
        <f t="shared" si="2"/>
        <v>CUATRIMESTRAL</v>
      </c>
      <c r="K12" s="33">
        <f>+VLOOKUP(C12,[1]Retefte!B:Q,14,0)</f>
        <v>42327</v>
      </c>
      <c r="L12" s="33" t="str">
        <f>+VLOOKUP(C12,[1]IVA!B:Q,14,0)</f>
        <v>No aplica</v>
      </c>
      <c r="M12" s="33" t="str">
        <f>+VLOOKUP(C12,[1]Retecree!B:T,17,0)</f>
        <v>No Aplica</v>
      </c>
      <c r="N12" s="33">
        <f>+VLOOKUP(C12,'[1]Distritales Bogota'!B:Q,11,0)</f>
        <v>42327</v>
      </c>
      <c r="O12" s="33"/>
      <c r="P12" s="33">
        <f t="shared" ref="P12" si="6">+IF(F12="si",(K12-6),(K12-6))-1</f>
        <v>42320</v>
      </c>
      <c r="Q12" s="33"/>
      <c r="R12" s="33"/>
      <c r="S12" s="34"/>
      <c r="T12" s="35"/>
      <c r="U12" s="36"/>
      <c r="V12" s="37"/>
      <c r="W12" s="24"/>
      <c r="X12" s="15"/>
      <c r="Y12" s="15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</row>
    <row r="13" spans="1:41" s="14" customFormat="1" x14ac:dyDescent="0.25">
      <c r="B13" s="26">
        <f t="shared" si="4"/>
        <v>6</v>
      </c>
      <c r="C13" s="48">
        <v>900574069</v>
      </c>
      <c r="D13" s="27" t="s">
        <v>33</v>
      </c>
      <c r="E13" s="28" t="str">
        <f t="shared" si="0"/>
        <v>9</v>
      </c>
      <c r="F13" s="28" t="str">
        <f t="shared" si="1"/>
        <v>NO</v>
      </c>
      <c r="G13" s="29" t="s">
        <v>48</v>
      </c>
      <c r="H13" s="30">
        <v>0</v>
      </c>
      <c r="I13" s="31">
        <f t="shared" ref="I13" si="7">ROUND(+H13/27485,0)</f>
        <v>0</v>
      </c>
      <c r="J13" s="32" t="str">
        <f t="shared" si="2"/>
        <v>ANUAL</v>
      </c>
      <c r="K13" s="33">
        <f>+VLOOKUP(C13,[1]Retefte!B:Q,14,0)</f>
        <v>42331</v>
      </c>
      <c r="L13" s="33" t="str">
        <f>+VLOOKUP(C13,[1]IVA!B:Q,14,0)</f>
        <v>No aplica</v>
      </c>
      <c r="M13" s="33" t="str">
        <f>+VLOOKUP(C13,[1]Retecree!B:T,17,0)</f>
        <v>No Aplica</v>
      </c>
      <c r="N13" s="33">
        <f>+VLOOKUP(C13,'[1]Distritales Bogota'!B:Q,11,0)</f>
        <v>42327</v>
      </c>
      <c r="O13" s="33"/>
      <c r="P13" s="33">
        <f t="shared" si="5"/>
        <v>42321</v>
      </c>
      <c r="Q13" s="33"/>
      <c r="R13" s="33"/>
      <c r="S13" s="34"/>
      <c r="T13" s="35"/>
      <c r="U13" s="36"/>
      <c r="V13" s="37"/>
      <c r="W13" s="24"/>
      <c r="X13" s="15"/>
      <c r="Y13" s="15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</row>
    <row r="14" spans="1:41" s="14" customFormat="1" x14ac:dyDescent="0.25">
      <c r="B14" s="26">
        <f t="shared" si="4"/>
        <v>7</v>
      </c>
      <c r="C14" s="48">
        <v>900777451</v>
      </c>
      <c r="D14" s="27" t="s">
        <v>34</v>
      </c>
      <c r="E14" s="28" t="str">
        <f t="shared" si="0"/>
        <v>1</v>
      </c>
      <c r="F14" s="28" t="str">
        <f t="shared" si="1"/>
        <v>NO</v>
      </c>
      <c r="G14" s="29" t="s">
        <v>48</v>
      </c>
      <c r="H14" s="30">
        <v>0</v>
      </c>
      <c r="I14" s="31">
        <f t="shared" ref="I14" si="8">ROUND(+H14/27485,0)</f>
        <v>0</v>
      </c>
      <c r="J14" s="32" t="str">
        <f t="shared" si="2"/>
        <v>ANUAL</v>
      </c>
      <c r="K14" s="33">
        <f>+VLOOKUP(C14,[1]Retefte!B:Q,14,0)</f>
        <v>42318</v>
      </c>
      <c r="L14" s="33" t="str">
        <f>+VLOOKUP(C14,[1]IVA!B:Q,14,0)</f>
        <v>No aplica</v>
      </c>
      <c r="M14" s="33" t="str">
        <f>+VLOOKUP(C14,[1]Retecree!B:T,17,0)</f>
        <v>No Aplica</v>
      </c>
      <c r="N14" s="33">
        <f>+VLOOKUP(C14,'[1]Distritales Bogota'!B:Q,11,0)</f>
        <v>42327</v>
      </c>
      <c r="O14" s="33"/>
      <c r="P14" s="33">
        <f>+IF(F14="si",(K14-6),(K14-5))-1</f>
        <v>42312</v>
      </c>
      <c r="Q14" s="33"/>
      <c r="R14" s="33"/>
      <c r="S14" s="34"/>
      <c r="T14" s="35"/>
      <c r="U14" s="36"/>
      <c r="V14" s="37"/>
      <c r="W14" s="24"/>
      <c r="X14" s="15"/>
      <c r="Y14" s="24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</row>
    <row r="15" spans="1:41" s="14" customFormat="1" x14ac:dyDescent="0.25">
      <c r="B15" s="26">
        <f t="shared" si="4"/>
        <v>8</v>
      </c>
      <c r="C15" s="48">
        <v>900756462</v>
      </c>
      <c r="D15" s="27" t="s">
        <v>35</v>
      </c>
      <c r="E15" s="28" t="str">
        <f t="shared" si="0"/>
        <v>2</v>
      </c>
      <c r="F15" s="28" t="str">
        <f t="shared" si="1"/>
        <v>NO</v>
      </c>
      <c r="G15" s="29" t="s">
        <v>48</v>
      </c>
      <c r="H15" s="30">
        <v>21997000</v>
      </c>
      <c r="I15" s="31">
        <f>ROUND(+H15/27485,0)</f>
        <v>800</v>
      </c>
      <c r="J15" s="32" t="str">
        <f t="shared" si="2"/>
        <v>ANUAL</v>
      </c>
      <c r="K15" s="33">
        <f>+VLOOKUP(C15,[1]Retefte!B:Q,14,0)</f>
        <v>42319</v>
      </c>
      <c r="L15" s="33" t="str">
        <f>+VLOOKUP(C15,[1]IVA!B:Q,14,0)</f>
        <v>No aplica</v>
      </c>
      <c r="M15" s="33" t="str">
        <f>+VLOOKUP(C15,[1]Retecree!B:T,17,0)</f>
        <v>No Aplica</v>
      </c>
      <c r="N15" s="33">
        <f>+VLOOKUP(C15,'[1]Distritales Bogota'!B:Q,11,0)</f>
        <v>42327</v>
      </c>
      <c r="O15" s="33"/>
      <c r="P15" s="33">
        <f t="shared" ref="P15:P27" si="9">+IF(F15="si",(K15-6),(K15-5))-1</f>
        <v>42313</v>
      </c>
      <c r="Q15" s="33"/>
      <c r="R15" s="33"/>
      <c r="S15" s="34"/>
      <c r="T15" s="35"/>
      <c r="U15" s="36"/>
      <c r="V15" s="37"/>
      <c r="W15" s="24"/>
      <c r="X15" s="15"/>
      <c r="Y15" s="15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spans="1:41" s="14" customFormat="1" x14ac:dyDescent="0.25">
      <c r="B16" s="26">
        <f t="shared" si="4"/>
        <v>9</v>
      </c>
      <c r="C16" s="48">
        <v>900593581</v>
      </c>
      <c r="D16" s="27" t="s">
        <v>36</v>
      </c>
      <c r="E16" s="28" t="str">
        <f t="shared" si="0"/>
        <v>1</v>
      </c>
      <c r="F16" s="28" t="str">
        <f t="shared" si="1"/>
        <v>NO</v>
      </c>
      <c r="G16" s="29" t="s">
        <v>48</v>
      </c>
      <c r="H16" s="30">
        <v>167114000</v>
      </c>
      <c r="I16" s="31">
        <f>ROUND(+H16/27485,0)</f>
        <v>6080</v>
      </c>
      <c r="J16" s="32" t="str">
        <f t="shared" si="2"/>
        <v>ANUAL</v>
      </c>
      <c r="K16" s="33">
        <f>+VLOOKUP(C16,[1]Retefte!B:Q,14,0)</f>
        <v>42318</v>
      </c>
      <c r="L16" s="33" t="str">
        <f>+VLOOKUP(C16,[1]IVA!B:Q,14,0)</f>
        <v>No aplica</v>
      </c>
      <c r="M16" s="33" t="str">
        <f>+VLOOKUP(C16,[1]Retecree!B:T,17,0)</f>
        <v>No Aplica</v>
      </c>
      <c r="N16" s="33">
        <f>+VLOOKUP(C16,'[1]Distritales Bogota'!B:Q,11,0)</f>
        <v>42327</v>
      </c>
      <c r="O16" s="33"/>
      <c r="P16" s="33">
        <f t="shared" si="9"/>
        <v>42312</v>
      </c>
      <c r="Q16" s="33"/>
      <c r="R16" s="33"/>
      <c r="S16" s="34"/>
      <c r="T16" s="35"/>
      <c r="U16" s="36"/>
      <c r="V16" s="37"/>
      <c r="W16" s="24"/>
      <c r="X16" s="15"/>
      <c r="Y16" s="15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2:41" s="14" customFormat="1" x14ac:dyDescent="0.25">
      <c r="B17" s="26">
        <f t="shared" si="4"/>
        <v>10</v>
      </c>
      <c r="C17" s="48">
        <v>900570069</v>
      </c>
      <c r="D17" s="27" t="s">
        <v>37</v>
      </c>
      <c r="E17" s="28" t="str">
        <f t="shared" si="0"/>
        <v>9</v>
      </c>
      <c r="F17" s="28" t="str">
        <f t="shared" si="1"/>
        <v>NO</v>
      </c>
      <c r="G17" s="29" t="s">
        <v>48</v>
      </c>
      <c r="H17" s="30">
        <v>802923000</v>
      </c>
      <c r="I17" s="31">
        <f>ROUND(+H17/27485,0)</f>
        <v>29213</v>
      </c>
      <c r="J17" s="32" t="str">
        <f t="shared" si="2"/>
        <v>CUATRIMESTRAL</v>
      </c>
      <c r="K17" s="33">
        <f>+VLOOKUP(C17,[1]Retefte!B:Q,14,0)</f>
        <v>42331</v>
      </c>
      <c r="L17" s="33" t="str">
        <f>+VLOOKUP(C17,[1]IVA!B:Q,14,0)</f>
        <v>No aplica</v>
      </c>
      <c r="M17" s="33" t="str">
        <f>+VLOOKUP(C17,[1]Retecree!B:T,17,0)</f>
        <v>No Aplica</v>
      </c>
      <c r="N17" s="33">
        <f>+VLOOKUP(C17,'[1]Distritales Bogota'!B:Q,11,0)</f>
        <v>42327</v>
      </c>
      <c r="O17" s="33"/>
      <c r="P17" s="33">
        <f t="shared" si="9"/>
        <v>42325</v>
      </c>
      <c r="Q17" s="33"/>
      <c r="R17" s="33"/>
      <c r="S17" s="34"/>
      <c r="T17" s="35"/>
      <c r="U17" s="36"/>
      <c r="V17" s="37"/>
      <c r="W17" s="24"/>
      <c r="X17" s="15"/>
      <c r="Y17" s="15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</row>
    <row r="18" spans="2:41" s="14" customFormat="1" x14ac:dyDescent="0.25">
      <c r="B18" s="26">
        <f t="shared" si="4"/>
        <v>11</v>
      </c>
      <c r="C18" s="48">
        <v>900493030</v>
      </c>
      <c r="D18" s="27" t="s">
        <v>38</v>
      </c>
      <c r="E18" s="28" t="str">
        <f t="shared" si="0"/>
        <v>0</v>
      </c>
      <c r="F18" s="28" t="str">
        <f t="shared" si="1"/>
        <v>NO</v>
      </c>
      <c r="G18" s="29" t="s">
        <v>48</v>
      </c>
      <c r="H18" s="30">
        <v>0</v>
      </c>
      <c r="I18" s="31">
        <f>ROUND(+H18/27485,0)</f>
        <v>0</v>
      </c>
      <c r="J18" s="32" t="str">
        <f t="shared" si="2"/>
        <v>ANUAL</v>
      </c>
      <c r="K18" s="33">
        <f>+VLOOKUP(C18,[1]Retefte!B:Q,14,0)</f>
        <v>42332</v>
      </c>
      <c r="L18" s="33" t="str">
        <f>+VLOOKUP(C18,[1]IVA!B:Q,14,0)</f>
        <v>No aplica</v>
      </c>
      <c r="M18" s="33" t="str">
        <f>+VLOOKUP(C18,[1]Retecree!B:T,17,0)</f>
        <v>No Aplica</v>
      </c>
      <c r="N18" s="33">
        <f>+VLOOKUP(C18,'[1]Distritales Bogota'!B:Q,11,0)</f>
        <v>42327</v>
      </c>
      <c r="O18" s="33"/>
      <c r="P18" s="33">
        <f t="shared" si="9"/>
        <v>42326</v>
      </c>
      <c r="Q18" s="33"/>
      <c r="R18" s="33"/>
      <c r="S18" s="34"/>
      <c r="T18" s="35"/>
      <c r="U18" s="36"/>
      <c r="V18" s="37"/>
      <c r="W18" s="24"/>
      <c r="X18" s="15"/>
      <c r="Y18" s="15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</row>
    <row r="19" spans="2:41" s="14" customFormat="1" x14ac:dyDescent="0.25">
      <c r="B19" s="26">
        <f t="shared" si="4"/>
        <v>12</v>
      </c>
      <c r="C19" s="48">
        <v>900633463</v>
      </c>
      <c r="D19" s="27" t="s">
        <v>39</v>
      </c>
      <c r="E19" s="28" t="str">
        <f t="shared" si="0"/>
        <v>3</v>
      </c>
      <c r="F19" s="28" t="str">
        <f t="shared" si="1"/>
        <v>NO</v>
      </c>
      <c r="G19" s="29" t="s">
        <v>48</v>
      </c>
      <c r="H19" s="30">
        <v>912487000</v>
      </c>
      <c r="I19" s="31">
        <f t="shared" si="3"/>
        <v>33199</v>
      </c>
      <c r="J19" s="32" t="str">
        <f t="shared" si="2"/>
        <v>CUATRIMESTRAL</v>
      </c>
      <c r="K19" s="33">
        <f>+VLOOKUP(C19,[1]Retefte!B:Q,14,0)</f>
        <v>42320</v>
      </c>
      <c r="L19" s="33" t="str">
        <f>+VLOOKUP(C19,[1]IVA!B:Q,14,0)</f>
        <v>No aplica</v>
      </c>
      <c r="M19" s="33" t="str">
        <f>+VLOOKUP(C19,[1]Retecree!B:T,17,0)</f>
        <v>No Aplica</v>
      </c>
      <c r="N19" s="33">
        <f>+VLOOKUP(C19,'[1]Distritales Bogota'!B:Q,11,0)</f>
        <v>42327</v>
      </c>
      <c r="O19" s="33"/>
      <c r="P19" s="33">
        <f t="shared" si="9"/>
        <v>42314</v>
      </c>
      <c r="Q19" s="33"/>
      <c r="R19" s="33"/>
      <c r="S19" s="34"/>
      <c r="T19" s="35"/>
      <c r="U19" s="36"/>
      <c r="V19" s="37"/>
      <c r="W19" s="24"/>
      <c r="X19" s="15"/>
      <c r="Y19" s="15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</row>
    <row r="20" spans="2:41" s="14" customFormat="1" x14ac:dyDescent="0.25">
      <c r="B20" s="26">
        <f t="shared" si="4"/>
        <v>13</v>
      </c>
      <c r="C20" s="48">
        <v>900609342</v>
      </c>
      <c r="D20" s="27" t="s">
        <v>40</v>
      </c>
      <c r="E20" s="28" t="str">
        <f t="shared" si="0"/>
        <v>2</v>
      </c>
      <c r="F20" s="28" t="str">
        <f t="shared" si="1"/>
        <v>SI</v>
      </c>
      <c r="G20" s="29" t="s">
        <v>48</v>
      </c>
      <c r="H20" s="30">
        <v>6081992000</v>
      </c>
      <c r="I20" s="31">
        <f>ROUND(+H20/27485,0)</f>
        <v>221284</v>
      </c>
      <c r="J20" s="32" t="str">
        <f t="shared" si="2"/>
        <v>BIMESTRAL</v>
      </c>
      <c r="K20" s="33">
        <f>+VLOOKUP(C20,[1]Retefte!B:Q,14,0)</f>
        <v>42319</v>
      </c>
      <c r="L20" s="33">
        <f>+VLOOKUP(C20,[1]IVA!B:Q,14,0)</f>
        <v>42319</v>
      </c>
      <c r="M20" s="33">
        <f>+VLOOKUP(C20,[1]Retecree!B:T,17,0)</f>
        <v>42319</v>
      </c>
      <c r="N20" s="33">
        <f>+VLOOKUP(C20,'[1]Distritales Bogota'!B:Q,11,0)</f>
        <v>42327</v>
      </c>
      <c r="O20" s="33"/>
      <c r="P20" s="33">
        <f t="shared" si="9"/>
        <v>42312</v>
      </c>
      <c r="Q20" s="33"/>
      <c r="R20" s="33"/>
      <c r="S20" s="34"/>
      <c r="T20" s="35"/>
      <c r="U20" s="36"/>
      <c r="V20" s="37"/>
      <c r="W20" s="24"/>
      <c r="X20" s="15"/>
      <c r="Y20" s="15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</row>
    <row r="21" spans="2:41" s="14" customFormat="1" x14ac:dyDescent="0.25">
      <c r="B21" s="26">
        <f t="shared" si="4"/>
        <v>14</v>
      </c>
      <c r="C21" s="48">
        <v>900805606</v>
      </c>
      <c r="D21" s="27" t="s">
        <v>41</v>
      </c>
      <c r="E21" s="28" t="str">
        <f t="shared" si="0"/>
        <v>6</v>
      </c>
      <c r="F21" s="28" t="str">
        <f t="shared" si="1"/>
        <v>NO</v>
      </c>
      <c r="G21" s="29" t="s">
        <v>48</v>
      </c>
      <c r="H21" s="30">
        <v>0</v>
      </c>
      <c r="I21" s="31">
        <f t="shared" si="3"/>
        <v>0</v>
      </c>
      <c r="J21" s="32" t="str">
        <f t="shared" si="2"/>
        <v>ANUAL</v>
      </c>
      <c r="K21" s="33">
        <f>+VLOOKUP(C21,[1]Retefte!B:Q,14,0)</f>
        <v>42326</v>
      </c>
      <c r="L21" s="33" t="str">
        <f>+VLOOKUP(C21,[1]IVA!B:Q,14,0)</f>
        <v>No aplica</v>
      </c>
      <c r="M21" s="33" t="str">
        <f>+VLOOKUP(C21,[1]Retecree!B:T,17,0)</f>
        <v>No Aplica</v>
      </c>
      <c r="N21" s="33">
        <f>+VLOOKUP(C21,'[1]Distritales Bogota'!B:Q,11,0)</f>
        <v>42327</v>
      </c>
      <c r="O21" s="33"/>
      <c r="P21" s="33">
        <f t="shared" si="9"/>
        <v>42320</v>
      </c>
      <c r="Q21" s="33"/>
      <c r="R21" s="33"/>
      <c r="S21" s="34"/>
      <c r="T21" s="35"/>
      <c r="U21" s="36"/>
      <c r="V21" s="37"/>
      <c r="W21" s="24"/>
      <c r="X21" s="15"/>
      <c r="Y21" s="15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</row>
    <row r="22" spans="2:41" s="14" customFormat="1" x14ac:dyDescent="0.25">
      <c r="B22" s="26">
        <f t="shared" si="4"/>
        <v>15</v>
      </c>
      <c r="C22" s="48">
        <v>900815680</v>
      </c>
      <c r="D22" s="27" t="s">
        <v>42</v>
      </c>
      <c r="E22" s="28" t="str">
        <f t="shared" si="0"/>
        <v>0</v>
      </c>
      <c r="F22" s="28" t="str">
        <f t="shared" si="1"/>
        <v>NO</v>
      </c>
      <c r="G22" s="29" t="s">
        <v>48</v>
      </c>
      <c r="H22" s="30">
        <v>0</v>
      </c>
      <c r="I22" s="31">
        <f t="shared" si="3"/>
        <v>0</v>
      </c>
      <c r="J22" s="32" t="str">
        <f t="shared" si="2"/>
        <v>ANUAL</v>
      </c>
      <c r="K22" s="33">
        <f>+VLOOKUP(C22,[1]Retefte!B:Q,14,0)</f>
        <v>42332</v>
      </c>
      <c r="L22" s="33">
        <f>+VLOOKUP(C22,[1]IVA!B:Q,14,0)</f>
        <v>42332</v>
      </c>
      <c r="M22" s="33" t="str">
        <f>+VLOOKUP(C22,[1]Retecree!B:T,17,0)</f>
        <v>No Aplica</v>
      </c>
      <c r="N22" s="33">
        <f>+VLOOKUP(C22,'[1]Distritales Bogota'!B:Q,11,0)</f>
        <v>42327</v>
      </c>
      <c r="O22" s="33"/>
      <c r="P22" s="33">
        <f t="shared" si="9"/>
        <v>42326</v>
      </c>
      <c r="Q22" s="33"/>
      <c r="R22" s="33"/>
      <c r="S22" s="34"/>
      <c r="T22" s="35"/>
      <c r="U22" s="36"/>
      <c r="V22" s="37"/>
      <c r="W22" s="24"/>
      <c r="X22" s="15"/>
      <c r="Y22" s="15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</row>
    <row r="23" spans="2:41" s="14" customFormat="1" x14ac:dyDescent="0.25">
      <c r="B23" s="26">
        <f t="shared" si="4"/>
        <v>16</v>
      </c>
      <c r="C23" s="48">
        <v>900815676</v>
      </c>
      <c r="D23" s="27" t="s">
        <v>43</v>
      </c>
      <c r="E23" s="28" t="str">
        <f t="shared" si="0"/>
        <v>6</v>
      </c>
      <c r="F23" s="28" t="str">
        <f t="shared" si="1"/>
        <v>NO</v>
      </c>
      <c r="G23" s="29" t="s">
        <v>48</v>
      </c>
      <c r="H23" s="30">
        <v>0</v>
      </c>
      <c r="I23" s="31">
        <f t="shared" ref="I23:I24" si="10">ROUND(+H23/27485,0)</f>
        <v>0</v>
      </c>
      <c r="J23" s="32" t="str">
        <f t="shared" si="2"/>
        <v>ANUAL</v>
      </c>
      <c r="K23" s="33">
        <f>+VLOOKUP(C23,[1]Retefte!B:Q,14,0)</f>
        <v>42326</v>
      </c>
      <c r="L23" s="33" t="str">
        <f>+VLOOKUP(C23,[1]IVA!B:Q,14,0)</f>
        <v>No aplica</v>
      </c>
      <c r="M23" s="33" t="str">
        <f>+VLOOKUP(C23,[1]Retecree!B:T,17,0)</f>
        <v>No Aplica</v>
      </c>
      <c r="N23" s="33">
        <f>+VLOOKUP(C23,'[1]Distritales Bogota'!B:Q,11,0)</f>
        <v>42327</v>
      </c>
      <c r="O23" s="33"/>
      <c r="P23" s="33">
        <f t="shared" si="9"/>
        <v>42320</v>
      </c>
      <c r="Q23" s="33"/>
      <c r="R23" s="33"/>
      <c r="S23" s="34"/>
      <c r="T23" s="35"/>
      <c r="U23" s="36"/>
      <c r="V23" s="37"/>
      <c r="W23" s="24"/>
      <c r="X23" s="15"/>
      <c r="Y23" s="15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</row>
    <row r="24" spans="2:41" s="14" customFormat="1" x14ac:dyDescent="0.25">
      <c r="B24" s="26">
        <f t="shared" si="4"/>
        <v>17</v>
      </c>
      <c r="C24" s="48">
        <v>900824129</v>
      </c>
      <c r="D24" s="27" t="s">
        <v>44</v>
      </c>
      <c r="E24" s="28" t="str">
        <f t="shared" si="0"/>
        <v>9</v>
      </c>
      <c r="F24" s="28" t="str">
        <f t="shared" si="1"/>
        <v>NO</v>
      </c>
      <c r="G24" s="29" t="s">
        <v>48</v>
      </c>
      <c r="H24" s="30">
        <v>0</v>
      </c>
      <c r="I24" s="31">
        <f t="shared" si="10"/>
        <v>0</v>
      </c>
      <c r="J24" s="32" t="str">
        <f t="shared" si="2"/>
        <v>ANUAL</v>
      </c>
      <c r="K24" s="33">
        <f>+VLOOKUP(C24,[1]Retefte!B:Q,14,0)</f>
        <v>42331</v>
      </c>
      <c r="L24" s="33" t="str">
        <f>+VLOOKUP(C24,[1]IVA!B:Q,14,0)</f>
        <v>No aplica</v>
      </c>
      <c r="M24" s="33" t="str">
        <f>+VLOOKUP(C24,[1]Retecree!B:T,17,0)</f>
        <v>No Aplica</v>
      </c>
      <c r="N24" s="33">
        <f>+VLOOKUP(C24,'[1]Distritales Bogota'!B:Q,11,0)</f>
        <v>42327</v>
      </c>
      <c r="O24" s="33"/>
      <c r="P24" s="33">
        <f t="shared" si="9"/>
        <v>42325</v>
      </c>
      <c r="Q24" s="33"/>
      <c r="R24" s="33"/>
      <c r="S24" s="34"/>
      <c r="T24" s="35"/>
      <c r="U24" s="36"/>
      <c r="V24" s="37"/>
      <c r="W24" s="24"/>
      <c r="X24" s="15"/>
      <c r="Y24" s="15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</row>
    <row r="25" spans="2:41" s="14" customFormat="1" x14ac:dyDescent="0.25">
      <c r="B25" s="26">
        <f t="shared" si="4"/>
        <v>18</v>
      </c>
      <c r="C25" s="48">
        <v>900545664</v>
      </c>
      <c r="D25" s="27" t="s">
        <v>45</v>
      </c>
      <c r="E25" s="28" t="str">
        <f t="shared" si="0"/>
        <v>4</v>
      </c>
      <c r="F25" s="28" t="str">
        <f t="shared" si="1"/>
        <v>NO</v>
      </c>
      <c r="G25" s="29" t="s">
        <v>48</v>
      </c>
      <c r="H25" s="30">
        <v>207309000</v>
      </c>
      <c r="I25" s="31">
        <f t="shared" si="3"/>
        <v>7543</v>
      </c>
      <c r="J25" s="32" t="str">
        <f t="shared" si="2"/>
        <v>ANUAL</v>
      </c>
      <c r="K25" s="33">
        <f>+VLOOKUP(C25,[1]Retefte!B:Q,14,0)</f>
        <v>42321</v>
      </c>
      <c r="L25" s="33" t="str">
        <f>+VLOOKUP(C25,[1]IVA!B:Q,14,0)</f>
        <v>No aplica</v>
      </c>
      <c r="M25" s="33" t="str">
        <f>+VLOOKUP(C25,[1]Retecree!B:T,17,0)</f>
        <v>No Aplica</v>
      </c>
      <c r="N25" s="33">
        <f>+VLOOKUP(C25,'[1]Distritales Bogota'!B:Q,11,0)</f>
        <v>42327</v>
      </c>
      <c r="O25" s="33"/>
      <c r="P25" s="33">
        <f t="shared" si="9"/>
        <v>42315</v>
      </c>
      <c r="Q25" s="33"/>
      <c r="R25" s="33"/>
      <c r="S25" s="34"/>
      <c r="T25" s="35"/>
      <c r="U25" s="36"/>
      <c r="V25" s="37"/>
      <c r="W25" s="24"/>
      <c r="X25" s="15"/>
      <c r="Y25" s="15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</row>
    <row r="26" spans="2:41" s="14" customFormat="1" x14ac:dyDescent="0.25">
      <c r="B26" s="26">
        <f t="shared" si="4"/>
        <v>19</v>
      </c>
      <c r="C26" s="48">
        <v>900700298</v>
      </c>
      <c r="D26" s="27" t="s">
        <v>46</v>
      </c>
      <c r="E26" s="28" t="str">
        <f t="shared" si="0"/>
        <v>8</v>
      </c>
      <c r="F26" s="28" t="str">
        <f t="shared" si="1"/>
        <v>NO</v>
      </c>
      <c r="G26" s="29" t="s">
        <v>48</v>
      </c>
      <c r="H26" s="30">
        <v>5000</v>
      </c>
      <c r="I26" s="31">
        <f>ROUND(+H26/27485,0)</f>
        <v>0</v>
      </c>
      <c r="J26" s="32" t="str">
        <f t="shared" si="2"/>
        <v>ANUAL</v>
      </c>
      <c r="K26" s="33">
        <f>+VLOOKUP(C26,[1]Retefte!B:Q,14,0)</f>
        <v>42328</v>
      </c>
      <c r="L26" s="33" t="str">
        <f>+VLOOKUP(C26,[1]IVA!B:Q,14,0)</f>
        <v>No aplica</v>
      </c>
      <c r="M26" s="33" t="str">
        <f>+VLOOKUP(C26,[1]Retecree!B:T,17,0)</f>
        <v>No Aplica</v>
      </c>
      <c r="N26" s="33">
        <f>+VLOOKUP(C26,'[1]Distritales Bogota'!B:Q,11,0)</f>
        <v>42327</v>
      </c>
      <c r="O26" s="33"/>
      <c r="P26" s="33">
        <f t="shared" si="9"/>
        <v>42322</v>
      </c>
      <c r="Q26" s="33"/>
      <c r="R26" s="33"/>
      <c r="S26" s="34"/>
      <c r="T26" s="35"/>
      <c r="U26" s="36"/>
      <c r="V26" s="37"/>
      <c r="W26" s="24"/>
      <c r="X26" s="15"/>
      <c r="Y26" s="15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</row>
    <row r="27" spans="2:41" s="14" customFormat="1" x14ac:dyDescent="0.25">
      <c r="B27" s="26">
        <f t="shared" si="4"/>
        <v>20</v>
      </c>
      <c r="C27" s="48">
        <v>900633093</v>
      </c>
      <c r="D27" s="27" t="s">
        <v>47</v>
      </c>
      <c r="E27" s="28" t="str">
        <f t="shared" si="0"/>
        <v>3</v>
      </c>
      <c r="F27" s="28" t="str">
        <f t="shared" si="1"/>
        <v>NO</v>
      </c>
      <c r="G27" s="29" t="s">
        <v>48</v>
      </c>
      <c r="H27" s="30">
        <v>1603444000</v>
      </c>
      <c r="I27" s="31">
        <f t="shared" si="3"/>
        <v>58339</v>
      </c>
      <c r="J27" s="32" t="str">
        <f t="shared" si="2"/>
        <v>CUATRIMESTRAL</v>
      </c>
      <c r="K27" s="33">
        <f>+VLOOKUP(C27,[1]Retefte!B:Q,14,0)</f>
        <v>42320</v>
      </c>
      <c r="L27" s="33" t="str">
        <f>+VLOOKUP(C27,[1]IVA!B:Q,14,0)</f>
        <v>No aplica</v>
      </c>
      <c r="M27" s="33" t="str">
        <f>+VLOOKUP(C27,[1]Retecree!B:T,17,0)</f>
        <v>No Aplica</v>
      </c>
      <c r="N27" s="33">
        <f>+VLOOKUP(C27,'[1]Distritales Bogota'!B:Q,11,0)</f>
        <v>42327</v>
      </c>
      <c r="O27" s="33"/>
      <c r="P27" s="33">
        <f t="shared" si="9"/>
        <v>42314</v>
      </c>
      <c r="Q27" s="33"/>
      <c r="R27" s="33"/>
      <c r="S27" s="34"/>
      <c r="T27" s="35"/>
      <c r="U27" s="36"/>
      <c r="V27" s="37"/>
      <c r="W27" s="24"/>
      <c r="X27" s="15"/>
      <c r="Y27" s="15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</row>
    <row r="28" spans="2:41" x14ac:dyDescent="0.25">
      <c r="B28" s="4"/>
      <c r="C28" s="4"/>
      <c r="H28" s="18"/>
      <c r="I28" s="17"/>
      <c r="J28" s="17"/>
    </row>
    <row r="29" spans="2:41" x14ac:dyDescent="0.25">
      <c r="B29" s="4"/>
      <c r="C29" s="4"/>
      <c r="I29" s="17"/>
      <c r="J29" s="17"/>
      <c r="P29" s="19"/>
    </row>
    <row r="30" spans="2:41" x14ac:dyDescent="0.25">
      <c r="B30" s="4"/>
      <c r="C30" s="4"/>
      <c r="I30" s="17"/>
      <c r="J30" s="17"/>
    </row>
    <row r="31" spans="2:41" x14ac:dyDescent="0.25">
      <c r="B31" s="4"/>
      <c r="C31" s="4"/>
    </row>
    <row r="32" spans="2:41" x14ac:dyDescent="0.25">
      <c r="B32" s="4"/>
      <c r="C32" s="4"/>
      <c r="G32" s="4" t="s">
        <v>26</v>
      </c>
      <c r="H32" s="45" t="s">
        <v>27</v>
      </c>
    </row>
    <row r="33" spans="2:18" x14ac:dyDescent="0.25">
      <c r="B33" s="4"/>
      <c r="C33" s="4"/>
      <c r="Q33" s="20"/>
      <c r="R33" s="20"/>
    </row>
    <row r="34" spans="2:18" x14ac:dyDescent="0.25">
      <c r="B34" s="4"/>
      <c r="C34" s="4"/>
      <c r="Q34" s="20"/>
      <c r="R34" s="20"/>
    </row>
    <row r="35" spans="2:18" x14ac:dyDescent="0.25">
      <c r="B35" s="4"/>
      <c r="C35" s="4"/>
      <c r="Q35" s="20"/>
      <c r="R35" s="20"/>
    </row>
    <row r="36" spans="2:18" x14ac:dyDescent="0.25">
      <c r="B36" s="4"/>
      <c r="C36" s="4"/>
      <c r="H36" s="18"/>
      <c r="I36" s="18"/>
      <c r="J36" s="18"/>
      <c r="Q36" s="20"/>
      <c r="R36" s="20"/>
    </row>
    <row r="37" spans="2:18" x14ac:dyDescent="0.25">
      <c r="B37" s="4"/>
      <c r="C37" s="4"/>
      <c r="H37" s="18"/>
      <c r="I37" s="18"/>
      <c r="J37" s="18"/>
      <c r="Q37" s="20"/>
      <c r="R37" s="20"/>
    </row>
    <row r="38" spans="2:18" x14ac:dyDescent="0.25">
      <c r="B38" s="4"/>
      <c r="C38" s="4"/>
      <c r="H38" s="18" t="s">
        <v>50</v>
      </c>
      <c r="I38" s="18">
        <v>33803</v>
      </c>
      <c r="J38" s="18">
        <f>+I38/0.06</f>
        <v>563383.33333333337</v>
      </c>
      <c r="K38" s="18">
        <f>+J38*0.024</f>
        <v>13521.2</v>
      </c>
      <c r="L38" s="18"/>
      <c r="Q38" s="20"/>
      <c r="R38" s="20"/>
    </row>
    <row r="39" spans="2:18" x14ac:dyDescent="0.25">
      <c r="B39" s="4"/>
      <c r="C39" s="4"/>
      <c r="H39" s="18" t="s">
        <v>51</v>
      </c>
      <c r="I39" s="18">
        <v>184800</v>
      </c>
      <c r="J39" s="18">
        <f>+I39/0.04</f>
        <v>4620000</v>
      </c>
      <c r="K39" s="18"/>
      <c r="L39" s="18"/>
      <c r="Q39" s="20"/>
      <c r="R39" s="20"/>
    </row>
    <row r="40" spans="2:18" x14ac:dyDescent="0.25">
      <c r="B40" s="4"/>
      <c r="C40" s="4"/>
      <c r="H40" s="18" t="s">
        <v>52</v>
      </c>
      <c r="I40" s="18">
        <v>67053</v>
      </c>
      <c r="J40" s="18">
        <f>+I40/0.01</f>
        <v>6705300</v>
      </c>
      <c r="K40" s="18"/>
      <c r="L40" s="18"/>
      <c r="Q40" s="20"/>
      <c r="R40" s="20"/>
    </row>
    <row r="41" spans="2:18" x14ac:dyDescent="0.25">
      <c r="B41" s="4"/>
      <c r="C41" s="4"/>
      <c r="H41" s="18" t="s">
        <v>53</v>
      </c>
      <c r="I41" s="18">
        <v>41287</v>
      </c>
      <c r="J41" s="18">
        <f>+I41/0.01</f>
        <v>4128700</v>
      </c>
      <c r="K41" s="18"/>
      <c r="L41" s="18"/>
      <c r="Q41" s="20"/>
      <c r="R41" s="20"/>
    </row>
    <row r="42" spans="2:18" x14ac:dyDescent="0.25">
      <c r="B42" s="4"/>
      <c r="C42" s="4"/>
      <c r="H42" s="18" t="s">
        <v>54</v>
      </c>
      <c r="I42" s="18">
        <v>0</v>
      </c>
      <c r="J42" s="18">
        <f>+I42/0.035</f>
        <v>0</v>
      </c>
      <c r="K42" s="18"/>
      <c r="L42" s="18"/>
      <c r="Q42" s="20"/>
      <c r="R42" s="20"/>
    </row>
    <row r="43" spans="2:18" x14ac:dyDescent="0.25">
      <c r="B43" s="4"/>
      <c r="C43" s="4"/>
      <c r="H43" s="18"/>
      <c r="I43" s="18">
        <v>0</v>
      </c>
      <c r="J43" s="18">
        <f>+I43/0.035</f>
        <v>0</v>
      </c>
      <c r="K43" s="18"/>
      <c r="L43" s="18"/>
    </row>
    <row r="44" spans="2:18" x14ac:dyDescent="0.25">
      <c r="B44" s="4"/>
      <c r="C44" s="4"/>
      <c r="H44" s="18"/>
      <c r="I44" s="18">
        <v>5250</v>
      </c>
      <c r="J44" s="18">
        <f>+I44/0.035</f>
        <v>150000</v>
      </c>
      <c r="K44" s="18">
        <f>+J44*0.024</f>
        <v>3600</v>
      </c>
      <c r="L44" s="18"/>
    </row>
    <row r="45" spans="2:18" x14ac:dyDescent="0.25">
      <c r="B45" s="4"/>
      <c r="C45" s="4"/>
      <c r="H45" s="18"/>
      <c r="I45" s="18">
        <v>0</v>
      </c>
      <c r="J45" s="18">
        <f>+I45/0.01</f>
        <v>0</v>
      </c>
      <c r="K45" s="18"/>
      <c r="L45" s="18"/>
    </row>
    <row r="46" spans="2:18" x14ac:dyDescent="0.25">
      <c r="B46" s="4"/>
      <c r="C46" s="4"/>
      <c r="H46" s="18" t="s">
        <v>58</v>
      </c>
      <c r="I46" s="18">
        <v>0</v>
      </c>
      <c r="J46" s="18">
        <f>+I46/0.035</f>
        <v>0</v>
      </c>
      <c r="K46" s="18">
        <f>+J46*0.024</f>
        <v>0</v>
      </c>
      <c r="L46" s="18"/>
    </row>
    <row r="47" spans="2:18" x14ac:dyDescent="0.25">
      <c r="B47" s="4"/>
      <c r="C47" s="4"/>
      <c r="H47" s="18" t="s">
        <v>59</v>
      </c>
      <c r="I47" s="18">
        <v>0</v>
      </c>
      <c r="J47" s="18">
        <f>+I47/0.035</f>
        <v>0</v>
      </c>
      <c r="K47" s="18"/>
      <c r="L47" s="18"/>
    </row>
    <row r="48" spans="2:18" x14ac:dyDescent="0.25">
      <c r="B48" s="4"/>
      <c r="C48" s="4"/>
      <c r="H48" s="18"/>
      <c r="I48" s="18">
        <v>0</v>
      </c>
      <c r="J48" s="18">
        <f>+I48/0.04</f>
        <v>0</v>
      </c>
      <c r="K48" s="18">
        <f>+J48*0.024</f>
        <v>0</v>
      </c>
      <c r="L48" s="18"/>
    </row>
    <row r="49" spans="2:19" x14ac:dyDescent="0.25">
      <c r="B49" s="4"/>
      <c r="C49" s="4"/>
      <c r="H49" s="18" t="s">
        <v>60</v>
      </c>
      <c r="I49" s="18">
        <v>0</v>
      </c>
      <c r="J49" s="18">
        <f>+I49/0.025</f>
        <v>0</v>
      </c>
      <c r="K49" s="18"/>
      <c r="L49" s="18"/>
    </row>
    <row r="50" spans="2:19" x14ac:dyDescent="0.25">
      <c r="B50" s="4"/>
      <c r="C50" s="4"/>
      <c r="H50" s="18"/>
      <c r="I50" s="18">
        <v>0</v>
      </c>
      <c r="J50" s="18">
        <f>+I50/0.035</f>
        <v>0</v>
      </c>
      <c r="K50" s="18">
        <f>+J50*0.024</f>
        <v>0</v>
      </c>
      <c r="L50" s="18"/>
    </row>
    <row r="51" spans="2:19" x14ac:dyDescent="0.25">
      <c r="B51" s="4"/>
      <c r="C51" s="4"/>
      <c r="H51" s="18" t="s">
        <v>56</v>
      </c>
      <c r="I51" s="18">
        <v>0</v>
      </c>
      <c r="J51" s="18">
        <f>+I51/0.11</f>
        <v>0</v>
      </c>
      <c r="K51" s="18"/>
      <c r="L51" s="18"/>
    </row>
    <row r="52" spans="2:19" x14ac:dyDescent="0.25">
      <c r="B52" s="4"/>
      <c r="C52" s="4"/>
      <c r="H52" s="18" t="s">
        <v>55</v>
      </c>
      <c r="I52" s="18">
        <v>0</v>
      </c>
      <c r="J52" s="18">
        <f>+I52/0.11</f>
        <v>0</v>
      </c>
      <c r="K52" s="18"/>
      <c r="L52" s="18"/>
    </row>
    <row r="53" spans="2:19" x14ac:dyDescent="0.25">
      <c r="B53" s="4"/>
      <c r="C53" s="4"/>
      <c r="H53" s="18" t="s">
        <v>57</v>
      </c>
      <c r="I53" s="18">
        <v>0</v>
      </c>
      <c r="J53" s="18">
        <f>+I53/0.1</f>
        <v>0</v>
      </c>
      <c r="K53" s="18">
        <f>+J53*0.024</f>
        <v>0</v>
      </c>
      <c r="L53" s="18"/>
    </row>
    <row r="54" spans="2:19" x14ac:dyDescent="0.25">
      <c r="B54" s="4"/>
      <c r="C54" s="4"/>
      <c r="H54" s="18"/>
      <c r="I54" s="18"/>
      <c r="J54" s="18"/>
      <c r="K54" s="18"/>
      <c r="L54" s="18"/>
    </row>
    <row r="55" spans="2:19" x14ac:dyDescent="0.25">
      <c r="B55" s="4"/>
      <c r="C55" s="4"/>
      <c r="G55" s="17"/>
      <c r="H55" s="18"/>
      <c r="I55" s="18">
        <v>13688481</v>
      </c>
      <c r="J55" s="18">
        <f>+I55/0.1</f>
        <v>136884810</v>
      </c>
      <c r="K55" s="18">
        <f>+J55*0.16</f>
        <v>21901569.600000001</v>
      </c>
      <c r="L55" s="18"/>
      <c r="O55" s="4"/>
      <c r="Q55" s="4"/>
      <c r="R55" s="4"/>
    </row>
    <row r="56" spans="2:19" x14ac:dyDescent="0.25">
      <c r="B56" s="4"/>
      <c r="C56" s="4"/>
      <c r="G56" s="17"/>
      <c r="H56" s="18"/>
      <c r="I56" s="18">
        <v>0</v>
      </c>
      <c r="J56" s="18">
        <f>+I56/0.33</f>
        <v>0</v>
      </c>
      <c r="K56" s="18">
        <f>+J56*0.16</f>
        <v>0</v>
      </c>
      <c r="L56" s="18"/>
      <c r="O56" s="4"/>
      <c r="Q56" s="4"/>
      <c r="R56" s="4"/>
    </row>
    <row r="57" spans="2:19" x14ac:dyDescent="0.25">
      <c r="B57" s="4"/>
      <c r="C57" s="4"/>
      <c r="G57" s="17"/>
      <c r="H57" s="18"/>
      <c r="I57" s="18"/>
      <c r="J57" s="18"/>
      <c r="K57" s="18"/>
      <c r="L57" s="18"/>
      <c r="O57" s="4"/>
      <c r="Q57" s="4"/>
      <c r="R57" s="4"/>
    </row>
    <row r="58" spans="2:19" x14ac:dyDescent="0.25">
      <c r="B58" s="4"/>
      <c r="C58" s="4"/>
      <c r="G58" s="41"/>
      <c r="H58" s="18"/>
      <c r="I58" s="18"/>
      <c r="J58" s="18"/>
      <c r="K58" s="18"/>
      <c r="L58" s="18"/>
      <c r="O58" s="4"/>
      <c r="Q58" s="4"/>
      <c r="R58" s="4"/>
      <c r="S58" s="17"/>
    </row>
    <row r="59" spans="2:19" x14ac:dyDescent="0.25">
      <c r="B59" s="4"/>
      <c r="C59" s="4"/>
      <c r="G59" s="44"/>
      <c r="H59" s="40"/>
      <c r="I59" s="18"/>
      <c r="J59" s="18"/>
      <c r="K59" s="18"/>
      <c r="L59" s="18"/>
      <c r="O59" s="4"/>
      <c r="Q59" s="4"/>
      <c r="R59" s="4"/>
      <c r="S59" s="42"/>
    </row>
    <row r="60" spans="2:19" x14ac:dyDescent="0.25">
      <c r="B60" s="4"/>
      <c r="C60" s="4"/>
      <c r="G60" s="17"/>
      <c r="I60" s="18"/>
      <c r="J60" s="18"/>
      <c r="K60" s="18"/>
      <c r="L60" s="18"/>
      <c r="O60" s="4"/>
      <c r="Q60" s="4"/>
      <c r="R60" s="4"/>
      <c r="S60" s="17"/>
    </row>
    <row r="61" spans="2:19" x14ac:dyDescent="0.25">
      <c r="B61" s="4"/>
      <c r="C61" s="4"/>
      <c r="G61" s="17"/>
      <c r="I61" s="18"/>
      <c r="J61" s="18"/>
      <c r="K61" s="18"/>
      <c r="L61" s="18"/>
      <c r="O61" s="4"/>
      <c r="Q61" s="4"/>
      <c r="R61" s="4"/>
    </row>
    <row r="62" spans="2:19" x14ac:dyDescent="0.25">
      <c r="B62" s="4"/>
      <c r="C62" s="4"/>
      <c r="G62" s="17"/>
      <c r="I62" s="18"/>
      <c r="J62" s="18">
        <v>946147735</v>
      </c>
      <c r="K62" s="18"/>
      <c r="L62" s="18"/>
      <c r="O62" s="4"/>
      <c r="Q62" s="4"/>
      <c r="R62" s="4"/>
    </row>
    <row r="63" spans="2:19" x14ac:dyDescent="0.25">
      <c r="B63" s="4"/>
      <c r="C63" s="4"/>
      <c r="G63" s="17"/>
      <c r="I63" s="18"/>
      <c r="J63" s="18">
        <v>966498</v>
      </c>
      <c r="K63" s="18"/>
      <c r="O63" s="4"/>
      <c r="Q63" s="4"/>
      <c r="R63" s="4"/>
      <c r="S63" s="42"/>
    </row>
    <row r="64" spans="2:19" x14ac:dyDescent="0.25">
      <c r="B64" s="4"/>
      <c r="C64" s="4"/>
      <c r="I64" s="18"/>
      <c r="J64" s="18">
        <v>226000</v>
      </c>
      <c r="K64" s="18"/>
      <c r="O64" s="4"/>
      <c r="Q64" s="4"/>
      <c r="R64" s="4"/>
      <c r="S64" s="17"/>
    </row>
    <row r="65" spans="2:19" x14ac:dyDescent="0.25">
      <c r="B65" s="4"/>
      <c r="C65" s="4"/>
      <c r="I65" s="18"/>
      <c r="J65" s="18">
        <v>-121001000</v>
      </c>
      <c r="K65" s="18"/>
      <c r="O65" s="4"/>
      <c r="Q65" s="4"/>
      <c r="R65" s="4"/>
      <c r="S65" s="17"/>
    </row>
    <row r="66" spans="2:19" x14ac:dyDescent="0.25">
      <c r="B66" s="4"/>
      <c r="C66" s="4"/>
      <c r="I66" s="18"/>
      <c r="J66" s="18"/>
      <c r="K66" s="18"/>
      <c r="O66" s="4"/>
      <c r="Q66" s="4"/>
      <c r="R66" s="4"/>
    </row>
    <row r="67" spans="2:19" x14ac:dyDescent="0.25">
      <c r="B67" s="4"/>
      <c r="C67" s="4"/>
      <c r="I67" s="18"/>
      <c r="J67" s="18"/>
      <c r="K67" s="18"/>
      <c r="O67" s="4"/>
      <c r="Q67" s="4"/>
      <c r="R67" s="4"/>
      <c r="S67" s="43"/>
    </row>
    <row r="68" spans="2:19" x14ac:dyDescent="0.25">
      <c r="B68" s="4"/>
      <c r="C68" s="4"/>
      <c r="I68" s="18"/>
      <c r="J68" s="18"/>
      <c r="K68" s="18"/>
      <c r="O68" s="4"/>
      <c r="Q68" s="4"/>
      <c r="R68" s="4"/>
      <c r="S68" s="42"/>
    </row>
    <row r="69" spans="2:19" x14ac:dyDescent="0.25">
      <c r="B69" s="4"/>
      <c r="C69" s="4"/>
      <c r="G69" s="17"/>
      <c r="I69" s="18"/>
      <c r="J69" s="18"/>
      <c r="K69" s="18"/>
      <c r="O69" s="4"/>
      <c r="Q69" s="4"/>
      <c r="R69" s="4"/>
    </row>
    <row r="70" spans="2:19" x14ac:dyDescent="0.25">
      <c r="G70" s="17"/>
      <c r="I70" s="18"/>
      <c r="J70" s="18"/>
      <c r="K70" s="18"/>
    </row>
    <row r="71" spans="2:19" x14ac:dyDescent="0.25">
      <c r="I71" s="18"/>
      <c r="J71" s="18"/>
      <c r="K71" s="18"/>
      <c r="S71" s="43"/>
    </row>
    <row r="72" spans="2:19" x14ac:dyDescent="0.25">
      <c r="I72" s="18"/>
      <c r="J72" s="18">
        <f>SUM(J62:J71)</f>
        <v>826339233</v>
      </c>
      <c r="K72" s="18"/>
      <c r="S72" s="43"/>
    </row>
    <row r="73" spans="2:19" x14ac:dyDescent="0.25">
      <c r="J73" s="18">
        <v>-863475000</v>
      </c>
    </row>
    <row r="74" spans="2:19" x14ac:dyDescent="0.25">
      <c r="J74" s="18"/>
    </row>
    <row r="75" spans="2:19" x14ac:dyDescent="0.25">
      <c r="J75" s="18">
        <f>+J72+J73</f>
        <v>-37135767</v>
      </c>
    </row>
    <row r="76" spans="2:19" x14ac:dyDescent="0.25">
      <c r="G76" s="44"/>
      <c r="J76" s="18">
        <v>-121001000</v>
      </c>
    </row>
    <row r="77" spans="2:19" x14ac:dyDescent="0.25">
      <c r="G77" s="44"/>
      <c r="J77" s="18"/>
    </row>
    <row r="78" spans="2:19" x14ac:dyDescent="0.25">
      <c r="G78" s="44"/>
      <c r="J78" s="18"/>
    </row>
    <row r="79" spans="2:19" x14ac:dyDescent="0.25">
      <c r="G79" s="44"/>
      <c r="J79" s="18"/>
    </row>
    <row r="80" spans="2:19" x14ac:dyDescent="0.25">
      <c r="G80" s="44"/>
      <c r="J80" s="18">
        <v>148698000</v>
      </c>
    </row>
    <row r="81" spans="10:10" x14ac:dyDescent="0.25">
      <c r="J81" s="18"/>
    </row>
    <row r="82" spans="10:10" x14ac:dyDescent="0.25">
      <c r="J82" s="18"/>
    </row>
    <row r="83" spans="10:10" x14ac:dyDescent="0.25">
      <c r="J83" s="18"/>
    </row>
    <row r="84" spans="10:10" x14ac:dyDescent="0.25">
      <c r="J84" s="18"/>
    </row>
    <row r="85" spans="10:10" x14ac:dyDescent="0.25">
      <c r="J85" s="18"/>
    </row>
  </sheetData>
  <autoFilter ref="A7:AO27"/>
  <mergeCells count="21">
    <mergeCell ref="A6:A7"/>
    <mergeCell ref="K6:M6"/>
    <mergeCell ref="U6:U7"/>
    <mergeCell ref="V6:V7"/>
    <mergeCell ref="S6:S7"/>
    <mergeCell ref="T6:T7"/>
    <mergeCell ref="J6:J7"/>
    <mergeCell ref="N6:O6"/>
    <mergeCell ref="P6:P7"/>
    <mergeCell ref="Q6:Q7"/>
    <mergeCell ref="R6:R7"/>
    <mergeCell ref="D1:R3"/>
    <mergeCell ref="K5:O5"/>
    <mergeCell ref="B6:B7"/>
    <mergeCell ref="C6:C7"/>
    <mergeCell ref="D6:D7"/>
    <mergeCell ref="E6:E7"/>
    <mergeCell ref="F6:F7"/>
    <mergeCell ref="G6:G7"/>
    <mergeCell ref="H6:H7"/>
    <mergeCell ref="I6:I7"/>
  </mergeCells>
  <conditionalFormatting sqref="Q16:Q27">
    <cfRule type="cellIs" dxfId="29" priority="401" operator="greaterThan">
      <formula>$P16</formula>
    </cfRule>
    <cfRule type="containsBlanks" dxfId="28" priority="402">
      <formula>LEN(TRIM(Q16))=0</formula>
    </cfRule>
    <cfRule type="cellIs" dxfId="27" priority="403" operator="lessThanOrEqual">
      <formula>$P16</formula>
    </cfRule>
  </conditionalFormatting>
  <conditionalFormatting sqref="V16:V27">
    <cfRule type="containsBlanks" dxfId="26" priority="245" stopIfTrue="1">
      <formula>LEN(TRIM(V16))=0</formula>
    </cfRule>
    <cfRule type="expression" dxfId="25" priority="246" stopIfTrue="1">
      <formula>$V16&gt;$K16</formula>
    </cfRule>
    <cfRule type="expression" dxfId="24" priority="247" stopIfTrue="1">
      <formula>$V16&lt;=$K16</formula>
    </cfRule>
  </conditionalFormatting>
  <conditionalFormatting sqref="Q8">
    <cfRule type="cellIs" dxfId="23" priority="179" operator="greaterThan">
      <formula>$P8</formula>
    </cfRule>
    <cfRule type="containsBlanks" dxfId="22" priority="180">
      <formula>LEN(TRIM(Q8))=0</formula>
    </cfRule>
    <cfRule type="cellIs" dxfId="21" priority="181" operator="lessThanOrEqual">
      <formula>$P8</formula>
    </cfRule>
  </conditionalFormatting>
  <conditionalFormatting sqref="V8">
    <cfRule type="containsBlanks" dxfId="20" priority="176" stopIfTrue="1">
      <formula>LEN(TRIM(V8))=0</formula>
    </cfRule>
    <cfRule type="expression" dxfId="19" priority="177" stopIfTrue="1">
      <formula>$V8&gt;$K8</formula>
    </cfRule>
    <cfRule type="expression" dxfId="18" priority="178" stopIfTrue="1">
      <formula>$V8&lt;=$K8</formula>
    </cfRule>
  </conditionalFormatting>
  <conditionalFormatting sqref="Q9:Q12 Q15">
    <cfRule type="cellIs" dxfId="17" priority="173" operator="greaterThan">
      <formula>$P9</formula>
    </cfRule>
    <cfRule type="containsBlanks" dxfId="16" priority="174">
      <formula>LEN(TRIM(Q9))=0</formula>
    </cfRule>
    <cfRule type="cellIs" dxfId="15" priority="175" operator="lessThanOrEqual">
      <formula>$P9</formula>
    </cfRule>
  </conditionalFormatting>
  <conditionalFormatting sqref="V9:V12 V15">
    <cfRule type="containsBlanks" dxfId="14" priority="170" stopIfTrue="1">
      <formula>LEN(TRIM(V9))=0</formula>
    </cfRule>
    <cfRule type="expression" dxfId="13" priority="171" stopIfTrue="1">
      <formula>$V9&gt;$K9</formula>
    </cfRule>
    <cfRule type="expression" dxfId="12" priority="172" stopIfTrue="1">
      <formula>$V9&lt;=$K9</formula>
    </cfRule>
  </conditionalFormatting>
  <conditionalFormatting sqref="Q13">
    <cfRule type="cellIs" dxfId="11" priority="107" operator="greaterThan">
      <formula>$P13</formula>
    </cfRule>
    <cfRule type="containsBlanks" dxfId="10" priority="108">
      <formula>LEN(TRIM(Q13))=0</formula>
    </cfRule>
    <cfRule type="cellIs" dxfId="9" priority="109" operator="lessThanOrEqual">
      <formula>$P13</formula>
    </cfRule>
  </conditionalFormatting>
  <conditionalFormatting sqref="V13">
    <cfRule type="containsBlanks" dxfId="8" priority="104" stopIfTrue="1">
      <formula>LEN(TRIM(V13))=0</formula>
    </cfRule>
    <cfRule type="expression" dxfId="7" priority="105" stopIfTrue="1">
      <formula>$V13&gt;$K13</formula>
    </cfRule>
    <cfRule type="expression" dxfId="6" priority="106" stopIfTrue="1">
      <formula>$V13&lt;=$K13</formula>
    </cfRule>
  </conditionalFormatting>
  <conditionalFormatting sqref="Q14">
    <cfRule type="cellIs" dxfId="5" priority="89" operator="greaterThan">
      <formula>$P14</formula>
    </cfRule>
    <cfRule type="containsBlanks" dxfId="4" priority="90">
      <formula>LEN(TRIM(Q14))=0</formula>
    </cfRule>
    <cfRule type="cellIs" dxfId="3" priority="91" operator="lessThanOrEqual">
      <formula>$P14</formula>
    </cfRule>
  </conditionalFormatting>
  <conditionalFormatting sqref="V14">
    <cfRule type="containsBlanks" dxfId="2" priority="86" stopIfTrue="1">
      <formula>LEN(TRIM(V14))=0</formula>
    </cfRule>
    <cfRule type="expression" dxfId="1" priority="87" stopIfTrue="1">
      <formula>$V14&gt;$K14</formula>
    </cfRule>
    <cfRule type="expression" dxfId="0" priority="88" stopIfTrue="1">
      <formula>$V14&lt;=$K14</formula>
    </cfRule>
  </conditionalFormatting>
  <pageMargins left="0.7" right="0.7" top="0.75" bottom="0.75" header="0.3" footer="0.3"/>
  <pageSetup orientation="portrait" r:id="rId1"/>
  <ignoredErrors>
    <ignoredError sqref="E8:F27 B8:B27 B28:F82" unlockedFormula="1"/>
    <ignoredError sqref="J45 P12 P14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5"/>
  <sheetViews>
    <sheetView topLeftCell="A10" workbookViewId="0">
      <selection activeCell="F18" sqref="F18"/>
    </sheetView>
  </sheetViews>
  <sheetFormatPr baseColWidth="10" defaultColWidth="9.140625" defaultRowHeight="15" x14ac:dyDescent="0.25"/>
  <cols>
    <col min="3" max="3" width="14.28515625" bestFit="1" customWidth="1"/>
    <col min="4" max="4" width="11.5703125" bestFit="1" customWidth="1"/>
    <col min="5" max="6" width="12.5703125" bestFit="1" customWidth="1"/>
  </cols>
  <sheetData>
    <row r="1" spans="3:9" s="46" customFormat="1" x14ac:dyDescent="0.25"/>
    <row r="2" spans="3:9" s="46" customFormat="1" x14ac:dyDescent="0.25"/>
    <row r="3" spans="3:9" s="46" customFormat="1" x14ac:dyDescent="0.25"/>
    <row r="4" spans="3:9" s="46" customFormat="1" x14ac:dyDescent="0.25">
      <c r="D4" s="46">
        <v>1850</v>
      </c>
      <c r="E4" s="46">
        <v>580400</v>
      </c>
      <c r="F4" s="46">
        <f>SUM(C4:E4)</f>
        <v>582250</v>
      </c>
    </row>
    <row r="5" spans="3:9" s="46" customFormat="1" x14ac:dyDescent="0.25">
      <c r="C5" s="47">
        <v>3.5000000000000003E-2</v>
      </c>
      <c r="D5" s="47">
        <v>1E-3</v>
      </c>
      <c r="E5" s="47">
        <v>2.5000000000000001E-2</v>
      </c>
    </row>
    <row r="6" spans="3:9" s="46" customFormat="1" x14ac:dyDescent="0.25">
      <c r="C6" s="46">
        <f>+C4/C5</f>
        <v>0</v>
      </c>
      <c r="D6" s="46">
        <f>+D4/D5</f>
        <v>1850000</v>
      </c>
      <c r="E6" s="46">
        <f>+E4/E5</f>
        <v>23216000</v>
      </c>
      <c r="F6" s="46">
        <f>SUM(C6:E6)</f>
        <v>25066000</v>
      </c>
    </row>
    <row r="8" spans="3:9" x14ac:dyDescent="0.25">
      <c r="C8" s="46">
        <f>1299897-531968</f>
        <v>767929</v>
      </c>
      <c r="D8" s="46"/>
      <c r="E8" s="46"/>
      <c r="F8" s="46"/>
      <c r="G8" s="46"/>
      <c r="H8" s="46"/>
      <c r="I8" s="46"/>
    </row>
    <row r="9" spans="3:9" x14ac:dyDescent="0.25">
      <c r="C9" s="46"/>
      <c r="D9" s="46"/>
      <c r="E9" s="46"/>
      <c r="F9" s="46"/>
      <c r="G9" s="46"/>
      <c r="H9" s="46"/>
      <c r="I9" s="46"/>
    </row>
    <row r="10" spans="3:9" x14ac:dyDescent="0.25">
      <c r="C10" s="46">
        <v>21956</v>
      </c>
      <c r="D10" s="46"/>
      <c r="E10" s="46"/>
      <c r="F10" s="46"/>
      <c r="G10" s="46"/>
      <c r="H10" s="46"/>
      <c r="I10" s="46"/>
    </row>
    <row r="11" spans="3:9" x14ac:dyDescent="0.25">
      <c r="C11" s="46">
        <v>199</v>
      </c>
      <c r="D11" s="46"/>
      <c r="E11" s="46"/>
      <c r="F11" s="46"/>
      <c r="G11" s="46"/>
      <c r="H11" s="46"/>
      <c r="I11" s="46"/>
    </row>
    <row r="12" spans="3:9" x14ac:dyDescent="0.25">
      <c r="C12" s="46">
        <f>+C10+C11</f>
        <v>22155</v>
      </c>
      <c r="D12" s="46"/>
      <c r="E12" s="46"/>
      <c r="F12" s="46"/>
      <c r="G12" s="46"/>
      <c r="H12" s="46"/>
      <c r="I12" s="46"/>
    </row>
    <row r="13" spans="3:9" x14ac:dyDescent="0.25">
      <c r="C13" s="46"/>
      <c r="D13" s="46"/>
      <c r="E13" s="46"/>
      <c r="F13" s="46"/>
      <c r="G13" s="46"/>
      <c r="H13" s="46"/>
      <c r="I13" s="46"/>
    </row>
    <row r="14" spans="3:9" x14ac:dyDescent="0.25">
      <c r="C14" s="46"/>
      <c r="D14" s="46"/>
      <c r="E14" s="46"/>
      <c r="F14" s="46"/>
      <c r="G14" s="46"/>
      <c r="H14" s="46"/>
      <c r="I14" s="46"/>
    </row>
    <row r="15" spans="3:9" x14ac:dyDescent="0.25">
      <c r="C15" s="46"/>
      <c r="D15" s="46"/>
      <c r="E15" s="46"/>
      <c r="F15" s="46"/>
      <c r="G15" s="46"/>
      <c r="H15" s="46"/>
      <c r="I15" s="46"/>
    </row>
    <row r="16" spans="3:9" x14ac:dyDescent="0.25">
      <c r="C16" s="46">
        <v>22154</v>
      </c>
      <c r="D16" s="46"/>
      <c r="E16" s="46"/>
      <c r="F16" s="46"/>
      <c r="G16" s="46"/>
      <c r="H16" s="46"/>
      <c r="I16" s="46"/>
    </row>
    <row r="17" spans="3:9" x14ac:dyDescent="0.25">
      <c r="C17" s="46">
        <v>39</v>
      </c>
      <c r="D17" s="46"/>
      <c r="E17" s="46"/>
      <c r="F17" s="46"/>
      <c r="G17" s="46"/>
      <c r="H17" s="46"/>
      <c r="I17" s="46"/>
    </row>
    <row r="18" spans="3:9" x14ac:dyDescent="0.25">
      <c r="C18" s="46">
        <v>3078</v>
      </c>
      <c r="D18" s="46"/>
      <c r="E18" s="46"/>
      <c r="F18" s="46"/>
      <c r="G18" s="46"/>
      <c r="H18" s="46"/>
      <c r="I18" s="46"/>
    </row>
    <row r="19" spans="3:9" x14ac:dyDescent="0.25">
      <c r="C19" s="46">
        <f>SUM(C16:C18)</f>
        <v>25271</v>
      </c>
      <c r="D19" s="46"/>
      <c r="E19" s="46"/>
      <c r="F19" s="46"/>
      <c r="G19" s="46"/>
      <c r="H19" s="46"/>
      <c r="I19" s="46"/>
    </row>
    <row r="20" spans="3:9" x14ac:dyDescent="0.25">
      <c r="C20" s="46">
        <v>-25073</v>
      </c>
      <c r="D20" s="46"/>
      <c r="E20" s="46"/>
      <c r="F20" s="46"/>
      <c r="G20" s="46"/>
      <c r="H20" s="46"/>
      <c r="I20" s="46"/>
    </row>
    <row r="21" spans="3:9" x14ac:dyDescent="0.25">
      <c r="C21" s="46">
        <v>-199</v>
      </c>
      <c r="D21" s="46"/>
      <c r="E21" s="46"/>
      <c r="F21" s="46"/>
      <c r="G21" s="46"/>
      <c r="H21" s="46"/>
      <c r="I21" s="46"/>
    </row>
    <row r="22" spans="3:9" x14ac:dyDescent="0.25">
      <c r="C22" s="46">
        <f>+C19+C20+C21</f>
        <v>-1</v>
      </c>
      <c r="D22" s="46"/>
      <c r="E22" s="46"/>
      <c r="F22" s="46"/>
      <c r="G22" s="46"/>
      <c r="H22" s="46"/>
      <c r="I22" s="46"/>
    </row>
    <row r="23" spans="3:9" x14ac:dyDescent="0.25">
      <c r="C23" s="46"/>
      <c r="D23" s="46"/>
      <c r="E23" s="46"/>
      <c r="F23" s="46"/>
      <c r="G23" s="46"/>
      <c r="H23" s="46"/>
      <c r="I23" s="46"/>
    </row>
    <row r="24" spans="3:9" x14ac:dyDescent="0.25">
      <c r="C24" s="46"/>
      <c r="D24" s="46"/>
      <c r="E24" s="46"/>
      <c r="F24" s="46"/>
      <c r="G24" s="46"/>
      <c r="H24" s="46"/>
      <c r="I24" s="46"/>
    </row>
    <row r="25" spans="3:9" x14ac:dyDescent="0.25">
      <c r="C25" s="46">
        <f>10/1000</f>
        <v>0.01</v>
      </c>
      <c r="D25" s="46"/>
      <c r="E25" s="46"/>
      <c r="F25" s="46"/>
      <c r="G25" s="46"/>
      <c r="H25" s="46"/>
      <c r="I25" s="46"/>
    </row>
    <row r="26" spans="3:9" x14ac:dyDescent="0.25">
      <c r="C26" s="46">
        <f>+C24/C25</f>
        <v>0</v>
      </c>
      <c r="D26" s="46"/>
      <c r="E26" s="46"/>
      <c r="F26" s="46"/>
      <c r="G26" s="46"/>
      <c r="H26" s="46"/>
      <c r="I26" s="46"/>
    </row>
    <row r="27" spans="3:9" x14ac:dyDescent="0.25">
      <c r="C27" s="46"/>
      <c r="D27" s="46"/>
      <c r="E27" s="46"/>
      <c r="F27" s="46"/>
      <c r="G27" s="46"/>
      <c r="H27" s="46"/>
      <c r="I27" s="46"/>
    </row>
    <row r="28" spans="3:9" x14ac:dyDescent="0.25">
      <c r="C28" s="46"/>
      <c r="D28" s="46"/>
      <c r="E28" s="46"/>
      <c r="F28" s="46"/>
      <c r="G28" s="46"/>
      <c r="H28" s="46"/>
      <c r="I28" s="46"/>
    </row>
    <row r="29" spans="3:9" x14ac:dyDescent="0.25">
      <c r="C29" s="46"/>
      <c r="D29" s="46"/>
      <c r="E29" s="46"/>
      <c r="F29" s="46"/>
      <c r="G29" s="46"/>
      <c r="H29" s="46"/>
      <c r="I29" s="46"/>
    </row>
    <row r="30" spans="3:9" x14ac:dyDescent="0.25">
      <c r="C30" s="46"/>
      <c r="D30" s="46"/>
      <c r="E30" s="46"/>
      <c r="F30" s="46"/>
      <c r="G30" s="46"/>
      <c r="H30" s="46"/>
      <c r="I30" s="46"/>
    </row>
    <row r="31" spans="3:9" x14ac:dyDescent="0.25">
      <c r="C31" s="46"/>
      <c r="D31" s="46"/>
      <c r="E31" s="46"/>
      <c r="F31" s="46"/>
      <c r="G31" s="46"/>
      <c r="H31" s="46"/>
      <c r="I31" s="46"/>
    </row>
    <row r="32" spans="3:9" x14ac:dyDescent="0.25">
      <c r="C32" s="46"/>
      <c r="D32" s="46"/>
      <c r="E32" s="46"/>
      <c r="F32" s="46"/>
      <c r="G32" s="46"/>
      <c r="H32" s="46"/>
      <c r="I32" s="46"/>
    </row>
    <row r="33" spans="3:9" x14ac:dyDescent="0.25">
      <c r="C33" s="46"/>
      <c r="D33" s="46"/>
      <c r="E33" s="46"/>
      <c r="F33" s="46"/>
      <c r="G33" s="46"/>
      <c r="H33" s="46"/>
      <c r="I33" s="46"/>
    </row>
    <row r="34" spans="3:9" x14ac:dyDescent="0.25">
      <c r="C34" s="46"/>
      <c r="D34" s="46"/>
      <c r="E34" s="46"/>
      <c r="F34" s="46"/>
      <c r="G34" s="46"/>
      <c r="H34" s="46"/>
      <c r="I34" s="46"/>
    </row>
    <row r="35" spans="3:9" x14ac:dyDescent="0.25">
      <c r="C35" s="46"/>
      <c r="D35" s="46"/>
      <c r="E35" s="46"/>
      <c r="F35" s="46"/>
      <c r="G35" s="46"/>
      <c r="H35" s="46"/>
      <c r="I35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Noviembre</vt:lpstr>
      <vt:lpstr>Sheet1</vt:lpstr>
    </vt:vector>
  </TitlesOfParts>
  <Company>TMF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Hernandez</dc:creator>
  <cp:lastModifiedBy>Javier Dario Baquero</cp:lastModifiedBy>
  <cp:lastPrinted>2015-06-10T19:39:11Z</cp:lastPrinted>
  <dcterms:created xsi:type="dcterms:W3CDTF">2015-01-27T16:44:40Z</dcterms:created>
  <dcterms:modified xsi:type="dcterms:W3CDTF">2015-11-04T19:20:22Z</dcterms:modified>
</cp:coreProperties>
</file>